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d.docs.live.net/743d2543050edab8/Documentos/IMPUESTOS CON BOTAS/BIBLIOTECA JURIDICA/REFORMAS TRIBUTARIAS/Leyes de Reforma Tributaria/Ley 2277 de 2022/Segundo proyecto/ULTIMO TEXTO/Ultimo ultimo/"/>
    </mc:Choice>
  </mc:AlternateContent>
  <xr:revisionPtr revIDLastSave="1453" documentId="13_ncr:1_{863C87CF-E12A-4A3A-8422-E7DBC9FD3DBD}" xr6:coauthVersionLast="47" xr6:coauthVersionMax="47" xr10:uidLastSave="{C9E34C6D-9F0B-4230-A84E-F353F1105E60}"/>
  <bookViews>
    <workbookView xWindow="-110" yWindow="-110" windowWidth="19420" windowHeight="10300" firstSheet="2" activeTab="5" xr2:uid="{00000000-000D-0000-FFFF-FFFF00000000}"/>
  </bookViews>
  <sheets>
    <sheet name="APUNTES SESIÓN 1" sheetId="9" r:id="rId1"/>
    <sheet name="APUNTES SESIÓN 2" sheetId="15" r:id="rId2"/>
    <sheet name="APUNTES SESIÓN 3" sheetId="16" r:id="rId3"/>
    <sheet name="TMT NO CONSOLIDA ET" sheetId="2" r:id="rId4"/>
    <sheet name="TMT CONSOLIDA ET" sheetId="5" r:id="rId5"/>
    <sheet name="ESCENARIOS" sheetId="8" r:id="rId6"/>
    <sheet name="Ejercicio de TMT Obligados CONS" sheetId="6" r:id="rId7"/>
    <sheet name="ZF" sheetId="10" r:id="rId8"/>
    <sheet name="Limite art 259-1" sheetId="7" r:id="rId9"/>
    <sheet name="PAPA" sheetId="13" r:id="rId10"/>
    <sheet name="IPATRIMONIO" sheetId="11" r:id="rId11"/>
    <sheet name="GO" sheetId="12" r:id="rId12"/>
    <sheet name="SANCIONES Y  PROCEDIMIENTOS" sheetId="1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3" i="16" l="1"/>
  <c r="G142" i="16"/>
  <c r="G141" i="16"/>
  <c r="E140" i="16"/>
  <c r="E139" i="16"/>
  <c r="E114" i="16"/>
  <c r="E116" i="16" s="1"/>
  <c r="J100" i="16"/>
  <c r="J99" i="16"/>
  <c r="G100" i="16"/>
  <c r="J94" i="16"/>
  <c r="G94" i="16"/>
  <c r="G99" i="16"/>
  <c r="J93" i="16"/>
  <c r="G93" i="16"/>
  <c r="E88" i="16"/>
  <c r="D88" i="16"/>
  <c r="G82" i="16"/>
  <c r="G83" i="16"/>
  <c r="G81" i="16"/>
  <c r="F83" i="16"/>
  <c r="F82" i="16"/>
  <c r="E79" i="16"/>
  <c r="D79" i="16"/>
  <c r="E78" i="16"/>
  <c r="D78" i="16"/>
  <c r="E77" i="16"/>
  <c r="D18" i="10"/>
  <c r="D16" i="10"/>
  <c r="D15" i="10"/>
  <c r="D14" i="10"/>
  <c r="D9" i="10"/>
  <c r="D7" i="10"/>
  <c r="D6" i="10"/>
  <c r="D39" i="2"/>
  <c r="D37" i="2"/>
  <c r="F30" i="2"/>
  <c r="D27" i="2"/>
  <c r="E4" i="2"/>
  <c r="D11" i="2"/>
  <c r="F67" i="15"/>
  <c r="F66" i="15"/>
  <c r="F56" i="15"/>
  <c r="F57" i="15"/>
  <c r="E66" i="15"/>
  <c r="F63" i="15"/>
  <c r="F62" i="15"/>
  <c r="F60" i="15"/>
  <c r="F58" i="15"/>
  <c r="E43" i="15"/>
  <c r="E41" i="15"/>
  <c r="E39" i="15"/>
  <c r="E36" i="15"/>
  <c r="E33" i="15"/>
  <c r="F38" i="15" s="1"/>
  <c r="E29" i="15"/>
  <c r="F11" i="15"/>
  <c r="F9" i="15"/>
  <c r="F10" i="15" s="1"/>
  <c r="D89" i="9"/>
  <c r="D80" i="9"/>
  <c r="D85" i="9"/>
  <c r="D84" i="9"/>
  <c r="E84" i="9"/>
  <c r="E85" i="9"/>
  <c r="E87" i="9"/>
  <c r="L47" i="9"/>
  <c r="L48" i="9" s="1"/>
  <c r="L58" i="9"/>
  <c r="M75" i="9" s="1"/>
  <c r="B44" i="9"/>
  <c r="C44" i="9" s="1"/>
  <c r="D44" i="9" s="1"/>
  <c r="F33" i="9"/>
  <c r="E48" i="9"/>
  <c r="E50" i="9" s="1"/>
  <c r="N5" i="9"/>
  <c r="M5" i="9"/>
  <c r="M6" i="9" s="1"/>
  <c r="M7" i="9" s="1"/>
  <c r="M10" i="9" s="1"/>
  <c r="M11" i="9" s="1"/>
  <c r="M14" i="9" s="1"/>
  <c r="O10" i="9"/>
  <c r="G11" i="9"/>
  <c r="G9" i="9"/>
  <c r="E35" i="15" l="1"/>
  <c r="E37" i="15" s="1"/>
  <c r="E30" i="15"/>
  <c r="E31" i="15" s="1"/>
  <c r="E38" i="15" s="1"/>
  <c r="L60" i="9"/>
  <c r="L61" i="9" s="1"/>
  <c r="E52" i="9"/>
  <c r="E53" i="9" s="1"/>
  <c r="E54" i="9" s="1"/>
  <c r="E55" i="9" s="1"/>
  <c r="E56" i="9" s="1"/>
  <c r="E57" i="9" s="1"/>
  <c r="E58" i="9" s="1"/>
  <c r="L63" i="9"/>
  <c r="D81" i="9"/>
  <c r="D82" i="9" s="1"/>
  <c r="M71" i="9"/>
  <c r="M72" i="9" s="1"/>
  <c r="M76" i="9" s="1"/>
  <c r="L51" i="9"/>
  <c r="L52" i="9" s="1"/>
  <c r="N6" i="9"/>
  <c r="N7" i="9" s="1"/>
  <c r="N10" i="9" s="1"/>
  <c r="N11" i="9" s="1"/>
  <c r="N14" i="9" s="1"/>
  <c r="I37" i="14"/>
  <c r="I36" i="14"/>
  <c r="G10" i="14"/>
  <c r="F10" i="14"/>
  <c r="E10" i="14"/>
  <c r="C6" i="14"/>
  <c r="C5" i="14"/>
  <c r="E25" i="11"/>
  <c r="E24" i="11"/>
  <c r="E19" i="11"/>
  <c r="E21" i="11"/>
  <c r="F9" i="11"/>
  <c r="D10" i="11"/>
  <c r="E119" i="11"/>
  <c r="F112" i="11"/>
  <c r="G23" i="11"/>
  <c r="H6" i="13"/>
  <c r="C13" i="10"/>
  <c r="D39" i="11"/>
  <c r="F27" i="12"/>
  <c r="F26" i="12"/>
  <c r="F16" i="12"/>
  <c r="F15" i="12"/>
  <c r="J11" i="12"/>
  <c r="J10" i="12"/>
  <c r="J8" i="12"/>
  <c r="H11" i="12"/>
  <c r="H10" i="12"/>
  <c r="D26" i="7"/>
  <c r="D30" i="7"/>
  <c r="D28" i="7"/>
  <c r="C30" i="7"/>
  <c r="C14" i="7"/>
  <c r="D21" i="11"/>
  <c r="E9" i="11"/>
  <c r="F7" i="11"/>
  <c r="F4" i="11"/>
  <c r="G21" i="8"/>
  <c r="F24" i="8"/>
  <c r="F21" i="8" s="1"/>
  <c r="F17" i="8" s="1"/>
  <c r="D21" i="8"/>
  <c r="D17" i="8" s="1"/>
  <c r="J18" i="8"/>
  <c r="I18" i="8"/>
  <c r="H18" i="8"/>
  <c r="G18" i="8"/>
  <c r="E18" i="8"/>
  <c r="D18" i="8"/>
  <c r="I29" i="8"/>
  <c r="J29" i="8"/>
  <c r="K29" i="8"/>
  <c r="K23" i="8"/>
  <c r="K21" i="8" s="1"/>
  <c r="K17" i="8" s="1"/>
  <c r="G17" i="8"/>
  <c r="G28" i="8" s="1"/>
  <c r="E21" i="8"/>
  <c r="E17" i="8" s="1"/>
  <c r="E28" i="8" s="1"/>
  <c r="K16" i="8"/>
  <c r="J21" i="8"/>
  <c r="J17" i="8" s="1"/>
  <c r="J16" i="8"/>
  <c r="I21" i="8"/>
  <c r="I17" i="8" s="1"/>
  <c r="I16" i="8"/>
  <c r="H16" i="8"/>
  <c r="H29" i="8" s="1"/>
  <c r="H21" i="8"/>
  <c r="H17" i="8" s="1"/>
  <c r="D16" i="8"/>
  <c r="D29" i="8" s="1"/>
  <c r="G16" i="8"/>
  <c r="G29" i="8" s="1"/>
  <c r="G27" i="8" s="1"/>
  <c r="F16" i="8"/>
  <c r="E16" i="8"/>
  <c r="E30" i="2" l="1"/>
  <c r="G85" i="9"/>
  <c r="G86" i="9" s="1"/>
  <c r="D87" i="9"/>
  <c r="D86" i="9"/>
  <c r="D91" i="9" s="1"/>
  <c r="M74" i="9"/>
  <c r="M77" i="9" s="1"/>
  <c r="L65" i="9"/>
  <c r="E31" i="2"/>
  <c r="K18" i="8"/>
  <c r="F28" i="8"/>
  <c r="F18" i="8"/>
  <c r="F19" i="8" s="1"/>
  <c r="K31" i="8"/>
  <c r="I19" i="8"/>
  <c r="E19" i="8"/>
  <c r="E29" i="8"/>
  <c r="E27" i="8" s="1"/>
  <c r="G19" i="8"/>
  <c r="D19" i="8"/>
  <c r="J19" i="8"/>
  <c r="H19" i="8"/>
  <c r="F29" i="8"/>
  <c r="F27" i="8" s="1"/>
  <c r="K28" i="8"/>
  <c r="K27" i="8" s="1"/>
  <c r="J28" i="8"/>
  <c r="J27" i="8" s="1"/>
  <c r="I31" i="8"/>
  <c r="I28" i="8"/>
  <c r="I27" i="8" s="1"/>
  <c r="H28" i="8"/>
  <c r="H27" i="8" s="1"/>
  <c r="H31" i="8"/>
  <c r="D31" i="8"/>
  <c r="D28" i="8"/>
  <c r="D27" i="8" s="1"/>
  <c r="E31" i="8"/>
  <c r="G31" i="8"/>
  <c r="F31" i="8" l="1"/>
  <c r="F34" i="8"/>
  <c r="J31" i="8"/>
  <c r="K19" i="8"/>
  <c r="C26" i="7" l="1"/>
  <c r="H3" i="6"/>
  <c r="H8" i="6"/>
  <c r="H7" i="6"/>
  <c r="J6" i="6"/>
  <c r="H5" i="6"/>
  <c r="H6" i="6"/>
  <c r="E4" i="6"/>
  <c r="D16" i="6" s="1"/>
  <c r="D7" i="6"/>
  <c r="E3" i="6"/>
  <c r="F22" i="5"/>
  <c r="F23" i="5"/>
  <c r="F24" i="5"/>
  <c r="F25" i="5"/>
  <c r="F26" i="5"/>
  <c r="F27" i="5"/>
  <c r="F21" i="5"/>
  <c r="E28" i="5"/>
  <c r="F10" i="5"/>
  <c r="F11" i="5"/>
  <c r="F9" i="5"/>
  <c r="F12" i="5" s="1"/>
  <c r="E12" i="5"/>
  <c r="D28" i="5"/>
  <c r="D12" i="5"/>
  <c r="E31" i="5" l="1"/>
  <c r="D8" i="6"/>
  <c r="E7" i="6" s="1"/>
  <c r="D15" i="6"/>
  <c r="C12" i="6"/>
  <c r="F28" i="5"/>
  <c r="D42" i="5" s="1"/>
  <c r="E32" i="5" l="1"/>
  <c r="F31" i="5" s="1"/>
  <c r="C42" i="5"/>
  <c r="D38" i="5"/>
  <c r="D43" i="5" s="1"/>
  <c r="D19" i="6"/>
  <c r="D20" i="6"/>
  <c r="C4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Guerra</author>
  </authors>
  <commentList>
    <comment ref="D84" authorId="0" shapeId="0" xr:uid="{BEDB4321-DB46-417D-89F7-2DBE36555FC1}">
      <text>
        <r>
          <rPr>
            <b/>
            <sz val="11"/>
            <color indexed="81"/>
            <rFont val="Tahoma"/>
            <family val="2"/>
          </rPr>
          <t>Carlos Guerra:</t>
        </r>
        <r>
          <rPr>
            <sz val="11"/>
            <color indexed="81"/>
            <rFont val="Tahoma"/>
            <family val="2"/>
          </rPr>
          <t xml:space="preserve">
Este es la deduccion de depndientes del 387 limitada a las 32 uvt mensuales</t>
        </r>
      </text>
    </comment>
    <comment ref="D85" authorId="0" shapeId="0" xr:uid="{C5A62A4A-446B-480A-8215-5A0F89208BEC}">
      <text>
        <r>
          <rPr>
            <b/>
            <sz val="11"/>
            <color indexed="81"/>
            <rFont val="Tahoma"/>
            <family val="2"/>
          </rPr>
          <t>Carlos Guerra:</t>
        </r>
        <r>
          <rPr>
            <sz val="11"/>
            <color indexed="81"/>
            <rFont val="Tahoma"/>
            <family val="2"/>
          </rPr>
          <t xml:space="preserve">
AQUÍ solo tenemos la renta exe del 25% y la  LIMITAMOS EL BENEFICIO DEL 25% A 790 uvt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Guerra</author>
  </authors>
  <commentList>
    <comment ref="E33" authorId="0" shapeId="0" xr:uid="{43DB3798-A00E-4AFD-BA96-4ECC61A3C8A9}">
      <text>
        <r>
          <rPr>
            <b/>
            <sz val="11"/>
            <color indexed="81"/>
            <rFont val="Tahoma"/>
            <family val="2"/>
          </rPr>
          <t>Carlos Guerra:</t>
        </r>
        <r>
          <rPr>
            <sz val="11"/>
            <color indexed="81"/>
            <rFont val="Tahoma"/>
            <family val="2"/>
          </rPr>
          <t xml:space="preserve">
Este es la deduccion de depndientes del 387 limitada a las 32 uvt mensuales</t>
        </r>
      </text>
    </comment>
    <comment ref="E36" authorId="0" shapeId="0" xr:uid="{02509C7E-7D03-43BA-93F5-258548AB0C3D}">
      <text>
        <r>
          <rPr>
            <b/>
            <sz val="11"/>
            <color indexed="81"/>
            <rFont val="Tahoma"/>
            <family val="2"/>
          </rPr>
          <t>Carlos Guerra:</t>
        </r>
        <r>
          <rPr>
            <sz val="11"/>
            <color indexed="81"/>
            <rFont val="Tahoma"/>
            <family val="2"/>
          </rPr>
          <t xml:space="preserve">
AQUÍ solo tenemos la renta exe del 25% y la  LIMITAMOS EL BENEFICIO DEL 25% A 790 uvt</t>
        </r>
      </text>
    </comment>
  </commentList>
</comments>
</file>

<file path=xl/sharedStrings.xml><?xml version="1.0" encoding="utf-8"?>
<sst xmlns="http://schemas.openxmlformats.org/spreadsheetml/2006/main" count="532" uniqueCount="395">
  <si>
    <r>
      <t>Tasa de tributación depurada (TTD)</t>
    </r>
    <r>
      <rPr>
        <sz val="12"/>
        <color theme="1"/>
        <rFont val="Arial"/>
        <family val="2"/>
      </rPr>
      <t xml:space="preserve"> = </t>
    </r>
  </si>
  <si>
    <t>Utilidad depurada (UD)</t>
  </si>
  <si>
    <t>Impuesto depurado (ID)</t>
  </si>
  <si>
    <t>TASA MINIMA DE TRIBUTACIÓN</t>
  </si>
  <si>
    <r>
      <t xml:space="preserve">Impuesto depurado (ID) </t>
    </r>
    <r>
      <rPr>
        <sz val="12"/>
        <color theme="1"/>
        <rFont val="Arial"/>
        <family val="2"/>
      </rPr>
      <t xml:space="preserve"> </t>
    </r>
  </si>
  <si>
    <t xml:space="preserve">Impuesto neto de renta (INT) </t>
  </si>
  <si>
    <t xml:space="preserve"> Impuestos sobre las rentas pasivas provenientes de entidades controladas en el exterior (IRP)</t>
  </si>
  <si>
    <t>Descuentos Tributarios o Créditos Tributarios (DTC)</t>
  </si>
  <si>
    <t>(+)</t>
  </si>
  <si>
    <t>(-)</t>
  </si>
  <si>
    <t>Ingresos no constitutivos de renta ni ganancia ocasional, que afectan la utilidad contable o financiera (INCRNGO)</t>
  </si>
  <si>
    <t xml:space="preserve">Valor ingreso método de participación patrimonial del respectivo año gravable (VIMPP) </t>
  </si>
  <si>
    <t xml:space="preserve">Valor neto de ingresos por ganancia ocasional que afectan la utilidad contable o financiera VNGO </t>
  </si>
  <si>
    <t>Rentas exentas por aplicación de tratados para evitar la doble imposición – CAN, las percibidas por el régimen de compañías holding colombianas -CHC y las rentas exentas de que tratan los literales a) y b) del numeral 4 y el numeral 7 del artículo 235-2 del Estatuto Tributario (RE)</t>
  </si>
  <si>
    <t>Compensación de pérdidas fiscales o excesos de renta presuntiva tomados en el año gravable y que no afectaron la utilidad contable del periodo (C).</t>
  </si>
  <si>
    <t>Utilidad contable o financiera antes de impuestos (UC): Será la información de su estado de resultado integral.</t>
  </si>
  <si>
    <t xml:space="preserve">Diferencias permanentes consagradas en la ley y que aumentan la renta líquida (DPARL): Serán todas las diferencias que nunca se revertirán </t>
  </si>
  <si>
    <t xml:space="preserve">Utilidad depurada (UD) </t>
  </si>
  <si>
    <t>* El impuesto neto de renta (INT) será el resultado de restar el total impuesto sobre las rentas liquidas el total de los descuentos tributarios.</t>
  </si>
  <si>
    <t xml:space="preserve">* Los descuentos tributarios o créditos tributarios (DTC) serán exclusivamente lo que se originen por aplicación de tratados para evitar la doble imposición y descuento por impuestos pagados en el exterior contemplado en el artículo 254 del Estatuto Tributario. </t>
  </si>
  <si>
    <t>* El Impuesto sobre las rentas pasivas provenientes de entidades controladas en el exterior (IRP) se calculará multiplicando la renta pasiva por la tarifa general del impuesto de renta, es decir, 35%.</t>
  </si>
  <si>
    <t>La diferencia positiva entre la Utilidad Depurada (UD) multiplicada por el 15% y el Impuesto Depurado (ID), será un mayor valor del impuesto sobre la renta, que deberá adicionarse al impuesto sobre la renta (IA).</t>
  </si>
  <si>
    <t xml:space="preserve">Impuesto depurado (ID) </t>
  </si>
  <si>
    <t>Siempre que el resultado de la TTD sea inferior al 15%, usted debera ubicarse en alguno de los siguientes grupos y hacer lo que dicho grupo le indica para</t>
  </si>
  <si>
    <t>establecer el valor que se adicionará al impuesto sobre la renta (IA).</t>
  </si>
  <si>
    <t>∑ Impuesto depurado (ID)</t>
  </si>
  <si>
    <t>∑ Utilidad depurada (UD)</t>
  </si>
  <si>
    <t>MATRIZ</t>
  </si>
  <si>
    <t>CONTROLADA</t>
  </si>
  <si>
    <t>SUMATORIA</t>
  </si>
  <si>
    <t xml:space="preserve"> Tasa de tributación depurada del Grupo (TTDG)</t>
  </si>
  <si>
    <r>
      <t>Tasa de tributación depurada del grupo (TTDG)</t>
    </r>
    <r>
      <rPr>
        <sz val="12"/>
        <color theme="1"/>
        <rFont val="Arial"/>
        <family val="2"/>
      </rPr>
      <t xml:space="preserve"> = </t>
    </r>
  </si>
  <si>
    <t>Adicionar por el Grupo (IAG) a partir de la diferencia entre la sumatoria de la Utilidad Depurada (∑UD) multiplicada por el 15% menos la sumatoria del Impuesto Depurado (∑ID) de cada contribuyente, cuyos estados financieros se consolidan, así:</t>
  </si>
  <si>
    <t xml:space="preserve">
Las personas jurídicas residentes fiscales que tengan la obligación de consolidar estados financieros por controlar de manera directa o indirecta a otra entidad</t>
  </si>
  <si>
    <t xml:space="preserve">	Personas jurídicas contribuyentes del impuesto de renta a la tarifa general (Art. 240 ET) y Usuarios de Zonas Francas (Art. 240-1 ET) siempre que no sea objeto de consolidación de estados financieros, es decir, usted es una entidad que no controla de manera directa o indirecta a otra entidad en Colombia o en el exterior y prepara estados financieros individuales. </t>
  </si>
  <si>
    <t>𝐼𝐴 = 𝐼𝐴𝐺 × (𝑈𝐷𝛽) ∑𝑈𝐷𝛽</t>
  </si>
  <si>
    <t>Para calcular el Impuesto a Adicionar (IA) de cada contribuyente residente fiscal en Colombia, se deberá multiplicar el Impuesto a Adicionar por el Grupo (IAG) por el porcentaje que dé como resultado la división de la Utilidad Depurada) de cada contribuyente con utilidad depurada mayor a cero (UDβ sobre la sumatoria de las Utilidades Depuradas de los contribuyentes con Utilidades Depuradas mayores a cero (∑UDβ), así:</t>
  </si>
  <si>
    <t>CONTROLADA IMPUESTO A ADICIONAR (IA)</t>
  </si>
  <si>
    <t>MATRIZ IMPUESTO A A DICIONAR  (IA)</t>
  </si>
  <si>
    <t xml:space="preserve">Impuesto depurado (ID)  </t>
  </si>
  <si>
    <t>Siempre que el resultado de la TTDG sea inferior al 15%, usted debera ubicarse en alguno de los siguientes grupos y hacer lo que dicho grupo le indica para</t>
  </si>
  <si>
    <t>Sumatoria de la Utilidad Depurada (∑UD) multiplicada por el 15% menos la sumatoria del Impuesto Depurado (∑ID) de cada contribuyente</t>
  </si>
  <si>
    <t>Impuesto a Adicionar (IA):</t>
  </si>
  <si>
    <r>
      <rPr>
        <b/>
        <sz val="11"/>
        <color theme="1"/>
        <rFont val="Calibri"/>
        <family val="2"/>
        <scheme val="minor"/>
      </rPr>
      <t xml:space="preserve">Paso 1. </t>
    </r>
    <r>
      <rPr>
        <sz val="11"/>
        <color theme="1"/>
        <rFont val="Calibri"/>
        <family val="2"/>
        <scheme val="minor"/>
      </rPr>
      <t>Determinamos el impuesto depurado y la utilida depurada de manera individual y luego su sumatoria.</t>
    </r>
  </si>
  <si>
    <r>
      <rPr>
        <b/>
        <sz val="11"/>
        <color theme="1"/>
        <rFont val="Calibri"/>
        <family val="2"/>
        <scheme val="minor"/>
      </rPr>
      <t>Paso 2.</t>
    </r>
    <r>
      <rPr>
        <sz val="11"/>
        <color theme="1"/>
        <rFont val="Calibri"/>
        <family val="2"/>
        <scheme val="minor"/>
      </rPr>
      <t xml:space="preserve"> Determinamos la tasa de tributación depurada del grupo.</t>
    </r>
  </si>
  <si>
    <r>
      <rPr>
        <b/>
        <sz val="11"/>
        <color theme="1"/>
        <rFont val="Calibri"/>
        <family val="2"/>
        <scheme val="minor"/>
      </rPr>
      <t>Paso 3</t>
    </r>
    <r>
      <rPr>
        <sz val="11"/>
        <color theme="1"/>
        <rFont val="Calibri"/>
        <family val="2"/>
        <scheme val="minor"/>
      </rPr>
      <t>. Por ser la TTDG inferior al 15%, necesitamos determinar el Impuesto a Adicionar (IA) así;</t>
    </r>
  </si>
  <si>
    <r>
      <rPr>
        <b/>
        <sz val="11"/>
        <color theme="1"/>
        <rFont val="Calibri"/>
        <family val="2"/>
        <scheme val="minor"/>
      </rPr>
      <t>Paso 4</t>
    </r>
    <r>
      <rPr>
        <sz val="11"/>
        <color theme="1"/>
        <rFont val="Calibri"/>
        <family val="2"/>
        <scheme val="minor"/>
      </rPr>
      <t>. Se determina la proporcion del impuesto a adicionar que le corresponde a cada  contribuyente multiplicando el Impuesto a Adicionar por el Grupo (IAG) por el porcentaje que dé como resultado la división de la Utilidad Depurada) de cada contribuyente con utilidad depurada mayor a cero (UDβ sobre la sumatoria de las Utilidades Depuradas de los contribuyentes con Utilidades Depuradas mayores a cero (∑UDβ), así:</t>
    </r>
  </si>
  <si>
    <r>
      <rPr>
        <b/>
        <sz val="11"/>
        <color theme="1"/>
        <rFont val="Calibri"/>
        <family val="2"/>
        <scheme val="minor"/>
      </rPr>
      <t>Paso 5.</t>
    </r>
    <r>
      <rPr>
        <sz val="11"/>
        <color theme="1"/>
        <rFont val="Calibri"/>
        <family val="2"/>
        <scheme val="minor"/>
      </rPr>
      <t xml:space="preserve"> Determine el valor del Impuesto a adicionar a cada contribuyente multiplicando el Impuesto a Adicionar (IA) del paso 3 por el porcentaje determinado en el paso 4.</t>
    </r>
  </si>
  <si>
    <t>Porcentaje de Impuesto a Adicionar (IA) Matriz</t>
  </si>
  <si>
    <t>Porcentaje de Impuesto a Adicionar (IA) Controlada</t>
  </si>
  <si>
    <t>Valor de Impuesto a Adicionar (IA) Matriz</t>
  </si>
  <si>
    <t>Valor de Impuesto a Adicionar (IA) Controlada</t>
  </si>
  <si>
    <t xml:space="preserve"> $ 30.000.000 x ($ 150.000.000 / $ 200.000.000)</t>
  </si>
  <si>
    <t>𝑉𝐴𝐴 = (𝐷𝐸 + 𝑅𝐸 + 𝐼𝑁𝐶𝑅𝑁𝐺𝑂) ∗ 𝑇𝑅𝑃𝐽 + 𝐷𝑇 − 3%𝑅𝐿𝑂∗</t>
  </si>
  <si>
    <t>𝐷𝐸: corresponde a las deducciones especiales sujetas al límite, estas son:</t>
  </si>
  <si>
    <t>Deducciones por contribuciones a educación de los empleados contenida en el artículo 107-2 del Estatuto Tributario.</t>
  </si>
  <si>
    <t>El costo de operación por la financiación de estudio de trabajadores en instituciones de educación superior contenido en el artículo 124 de la Ley 30 de 1992.</t>
  </si>
  <si>
    <t>Los gastos de mantenimiento y conservación de los bienes muebles e inmuebles de interés cultural según el artículo 56 de la Ley 397 de 1997.</t>
  </si>
  <si>
    <t>El 200% del valor de los salarios y prestaciones sociales pagados durante el año o período gravable mujeres victimas de violencia comprobada según el artículo 23 de la Ley 1257 de 2008.</t>
  </si>
  <si>
    <t>Las inversiones que se realicen en infraestructura de proyectos para escenarios habilitados o en infraestructura de escenarios habilitados existentes, destinados específicamente a la realización de espectáculos públicos de las artes escénicas, según el artículo 4 de la Ley 1493 de 2011.</t>
  </si>
  <si>
    <r>
      <rPr>
        <b/>
        <i/>
        <sz val="11"/>
        <color theme="1"/>
        <rFont val="Calibri"/>
        <family val="2"/>
        <scheme val="minor"/>
      </rPr>
      <t>RE</t>
    </r>
    <r>
      <rPr>
        <b/>
        <sz val="11"/>
        <color theme="1"/>
        <rFont val="Calibri"/>
        <family val="2"/>
        <scheme val="minor"/>
      </rPr>
      <t>: corresponde a las rentas exentas sujetas al límite previsto:</t>
    </r>
  </si>
  <si>
    <t>Estímulos para el proceso de capitalización contenidos en el artículo 44 de la Ley 789 de 2002.</t>
  </si>
  <si>
    <r>
      <rPr>
        <b/>
        <i/>
        <sz val="11"/>
        <color theme="1"/>
        <rFont val="Calibri"/>
        <family val="2"/>
        <scheme val="minor"/>
      </rPr>
      <t xml:space="preserve">TRPJ: </t>
    </r>
    <r>
      <rPr>
        <b/>
        <sz val="11"/>
        <color theme="1"/>
        <rFont val="Calibri"/>
        <family val="2"/>
        <scheme val="minor"/>
      </rPr>
      <t>corresponde a la tarifa del impuesto sobre la renta aplicable.</t>
    </r>
  </si>
  <si>
    <r>
      <rPr>
        <b/>
        <i/>
        <sz val="11"/>
        <color theme="1"/>
        <rFont val="Calibri"/>
        <family val="2"/>
        <scheme val="minor"/>
      </rPr>
      <t>DT</t>
    </r>
    <r>
      <rPr>
        <b/>
        <sz val="11"/>
        <color theme="1"/>
        <rFont val="Calibri"/>
        <family val="2"/>
        <scheme val="minor"/>
      </rPr>
      <t>: corresponde a los descuentos tributarios sujetos al límite previsto, estos son:</t>
    </r>
  </si>
  <si>
    <t>Descuento para inversiones realizadas en control, conservación y mejoramiento del medio ambiente contenido en el artículo 255 del ET.</t>
  </si>
  <si>
    <t>Becas por impuestos contenida en el artículo 257-1 del ET.</t>
  </si>
  <si>
    <r>
      <rPr>
        <b/>
        <i/>
        <sz val="11"/>
        <color theme="1"/>
        <rFont val="Calibri"/>
        <family val="2"/>
        <scheme val="minor"/>
      </rPr>
      <t>RLO∗</t>
    </r>
    <r>
      <rPr>
        <b/>
        <sz val="11"/>
        <color theme="1"/>
        <rFont val="Calibri"/>
        <family val="2"/>
        <scheme val="minor"/>
      </rPr>
      <t>: corresponde a la renta líquida ordinaria anual del contribuyente, calculada antes de detraer las deducciones especiales sujetas al límite.</t>
    </r>
  </si>
  <si>
    <t>LIMITE DE LOS BENEFICIOS Y ESTIMULOS TRIBUTARIOS DEL ARTICULO 259-1 DEL ET</t>
  </si>
  <si>
    <r>
      <rPr>
        <b/>
        <i/>
        <sz val="14"/>
        <color theme="1"/>
        <rFont val="Calibri"/>
        <family val="2"/>
        <scheme val="minor"/>
      </rPr>
      <t>VAA:</t>
    </r>
    <r>
      <rPr>
        <b/>
        <sz val="14"/>
        <color theme="1"/>
        <rFont val="Calibri"/>
        <family val="2"/>
        <scheme val="minor"/>
      </rPr>
      <t xml:space="preserve"> corresponde al valor a adicionar.</t>
    </r>
  </si>
  <si>
    <r>
      <rPr>
        <b/>
        <i/>
        <sz val="11"/>
        <color theme="1"/>
        <rFont val="Calibri"/>
        <family val="2"/>
        <scheme val="minor"/>
      </rPr>
      <t>INCRNGO</t>
    </r>
    <r>
      <rPr>
        <b/>
        <sz val="11"/>
        <color theme="1"/>
        <rFont val="Calibri"/>
        <family val="2"/>
        <scheme val="minor"/>
      </rPr>
      <t xml:space="preserve">: </t>
    </r>
    <r>
      <rPr>
        <sz val="11"/>
        <color theme="1"/>
        <rFont val="Calibri"/>
        <family val="2"/>
        <scheme val="minor"/>
      </rPr>
      <t xml:space="preserve">corresponde a los ingresos no constitutivos de renta ni ganancia ocasional sujetos al límite previsto. </t>
    </r>
    <r>
      <rPr>
        <b/>
        <sz val="11"/>
        <color theme="1"/>
        <rFont val="Calibri"/>
        <family val="2"/>
        <scheme val="minor"/>
      </rPr>
      <t>Nota:</t>
    </r>
    <r>
      <rPr>
        <sz val="11"/>
        <color theme="1"/>
        <rFont val="Calibri"/>
        <family val="2"/>
        <scheme val="minor"/>
      </rPr>
      <t xml:space="preserve"> El artículo 259-1 no menciona ningun ingreso no constitutivo de renta ni ganancia ocasional de manera taxativa.</t>
    </r>
  </si>
  <si>
    <t>TOTAL DEDUCCIONES ESPECIALES (DE)</t>
  </si>
  <si>
    <t>TOTAL DESCUENTOS TRIBUTARIOS (DT)</t>
  </si>
  <si>
    <t>TASA MÍNIMA DE TRIBUTACIÓN</t>
  </si>
  <si>
    <t>Caso 1</t>
  </si>
  <si>
    <t>Caso 2</t>
  </si>
  <si>
    <t>Caso 3</t>
  </si>
  <si>
    <t>Caso 4</t>
  </si>
  <si>
    <t>Ingresos método de la participación</t>
  </si>
  <si>
    <t xml:space="preserve">Costos y gastos </t>
  </si>
  <si>
    <t>Renta exenta VIS</t>
  </si>
  <si>
    <t>Utilidad antes de impuestos</t>
  </si>
  <si>
    <t>Gasto por impuesto sobre la renta</t>
  </si>
  <si>
    <t>Variación del impuesto diferido</t>
  </si>
  <si>
    <t>Resultado del periodo</t>
  </si>
  <si>
    <t>Base del impuesto sobre la renta</t>
  </si>
  <si>
    <t>Tasa de tributación depurada (TTD)</t>
  </si>
  <si>
    <t>Impuesto depurado</t>
  </si>
  <si>
    <t>Utilidad Depurada</t>
  </si>
  <si>
    <t>Ingresos por variación del valor razonable Prop. Inversión</t>
  </si>
  <si>
    <t>Ingresos por dividendos (no gravados)</t>
  </si>
  <si>
    <t xml:space="preserve">Ingresos no constitutivos de renta (daño emergente) </t>
  </si>
  <si>
    <t>Ingresos por ventas de bienes y servicios</t>
  </si>
  <si>
    <t>TET contable (NIF)</t>
  </si>
  <si>
    <t>Gastos por multas y sanciones</t>
  </si>
  <si>
    <t>2. Los gastos que no cumplan con los requisitos establecidos en este estatuto para su deducción en el impuesto sobre la renta y complementarios, generarán diferencias permanentes. Dichos gastos comprenden, entre otros:
a) Las deducciones devengadas por concepto de la aplicación del método de participación patrimonial, incluyendo las pérdidas, de conformidad con los marcos técnicos normativos contables;
b) El impuesto sobre la renta y complementarios y los impuestos no comprendidos en el artículo 115 de este estatuto;
c) Las multas, sanciones, penalidades, intereses moratorios de carácter sancionatorio y las condenas provenientes de procesos administrativos, judiciales o arbitrales diferentes a las laborales con sujeción a lo prevista en el numeral 3º del artículo 107-1 de este estatuto;
d) Las distribuciones de dividendos;
e) Los impuestos asumidos de terceros.</t>
  </si>
  <si>
    <t>Inmobiliaria</t>
  </si>
  <si>
    <t>Constructora</t>
  </si>
  <si>
    <t>Caso 5</t>
  </si>
  <si>
    <t>Inversionista</t>
  </si>
  <si>
    <t>Ingresos (pérdidas) por variación del valor razonable (acciones bolsa)</t>
  </si>
  <si>
    <t>Compensación de pérdidas</t>
  </si>
  <si>
    <t>Compensación</t>
  </si>
  <si>
    <t>Caso 6</t>
  </si>
  <si>
    <t>Caso 7</t>
  </si>
  <si>
    <t>Pérdida fiscal</t>
  </si>
  <si>
    <t>Deterioro fiscal</t>
  </si>
  <si>
    <t>Depreciación fiscal</t>
  </si>
  <si>
    <t>Gastos por depreciaciones contables</t>
  </si>
  <si>
    <t>Caso 8</t>
  </si>
  <si>
    <t>Deterioro de CXC</t>
  </si>
  <si>
    <t>Gasto por deterioro contables</t>
  </si>
  <si>
    <t>Renta líquida x rec x deducción</t>
  </si>
  <si>
    <t>Impuestos sobre las rentas pasivas provenientes de entidades controladas en el exterior (IRP)</t>
  </si>
  <si>
    <t>DECLARACIÓN DE RENTA*</t>
  </si>
  <si>
    <r>
      <rPr>
        <b/>
        <sz val="11"/>
        <color theme="1"/>
        <rFont val="Calibri"/>
        <family val="2"/>
        <scheme val="minor"/>
      </rPr>
      <t xml:space="preserve">Diferencias permanentes consagradas en la ley </t>
    </r>
    <r>
      <rPr>
        <sz val="11"/>
        <color theme="1"/>
        <rFont val="Calibri"/>
        <family val="2"/>
        <scheme val="minor"/>
      </rPr>
      <t xml:space="preserve">y que aumentan la renta líquida (DPARL): Serán todas las diferencias que nunca se revertirán  </t>
    </r>
  </si>
  <si>
    <r>
      <t xml:space="preserve">Ingresos no constitutivos de renta ni ganancia ocasional, </t>
    </r>
    <r>
      <rPr>
        <b/>
        <sz val="11"/>
        <color rgb="FFFF0000"/>
        <rFont val="Calibri"/>
        <family val="2"/>
        <scheme val="minor"/>
      </rPr>
      <t>que afectan la utilidad contable o financiera</t>
    </r>
    <r>
      <rPr>
        <b/>
        <sz val="11"/>
        <rFont val="Calibri"/>
        <family val="2"/>
        <scheme val="minor"/>
      </rPr>
      <t xml:space="preserve"> (</t>
    </r>
    <r>
      <rPr>
        <sz val="11"/>
        <rFont val="Calibri"/>
        <family val="2"/>
        <scheme val="minor"/>
      </rPr>
      <t>INCRNGO)</t>
    </r>
  </si>
  <si>
    <r>
      <t xml:space="preserve">Compensación de pérdidas fiscales o excesos de renta presuntiva tomados en el año gravable y </t>
    </r>
    <r>
      <rPr>
        <b/>
        <sz val="11"/>
        <color theme="5"/>
        <rFont val="Calibri"/>
        <family val="2"/>
        <scheme val="minor"/>
      </rPr>
      <t>que no afectaron la utilidad contable del periodo (C).</t>
    </r>
  </si>
  <si>
    <t>2. A la renta líquida gravable multiplicada por el resultado de dividir los ingresos diferentes de aquellos provenientes de exportación de bienes y servicios por la totalidad de los ingresos fiscales, excluyendo las ganancias ocasionales, le será aplicable la tarifa general del artículo 240 del Estatuto Tributario.</t>
  </si>
  <si>
    <t>ZONAS FRANCAS</t>
  </si>
  <si>
    <t>1. A la renta líquida gravable multiplicada por el resultado de dividir los ingresos provenientes de la exportación de bienes y servicios por la totalidad de los ingresos fiscales, excluyendo las ganancias ocasionales, le será aplicable una tarifa del 20% del impuesto sobre la renta.</t>
  </si>
  <si>
    <t>Ingresos fiscales totales</t>
  </si>
  <si>
    <t>Renta liquida gravable</t>
  </si>
  <si>
    <t>Impuesto de Renta Tarifa 20%</t>
  </si>
  <si>
    <t>Impuesto sobre la Renta tarifa 35%</t>
  </si>
  <si>
    <t>Total Impuesto de renta</t>
  </si>
  <si>
    <t>HECHO GENERADOR</t>
  </si>
  <si>
    <t>PATRIMONIO LIQUIDO</t>
  </si>
  <si>
    <t>BASE GRAVABLE.</t>
  </si>
  <si>
    <t>CASA O APTO HABITACIÓN</t>
  </si>
  <si>
    <t>PARÁGRAFO 1. El valor patrimonial que se puede excluir de la base gravable del impuesto al patrimonio se determinará de conformidad con lo previsto en el Título II del Libro I de este Estatuto. El valor patrimonial neto del bien que se excluye de la base gravable, es el que se obtenga de multiplicar el valor patrimonial del bien por el porcentaje que resulte de dividir el patrimonio líquido por el patrimonio bruto a 1 de enero de cada año.</t>
  </si>
  <si>
    <t>VPN</t>
  </si>
  <si>
    <t>VALOR PATRIMONIAL CASA HABITACIÓN</t>
  </si>
  <si>
    <t>PATRIMONIO BRUTO</t>
  </si>
  <si>
    <r>
      <t xml:space="preserve">Ingresos </t>
    </r>
    <r>
      <rPr>
        <b/>
        <sz val="11"/>
        <color theme="1"/>
        <rFont val="Calibri"/>
        <family val="2"/>
        <scheme val="minor"/>
      </rPr>
      <t>fiscales</t>
    </r>
    <r>
      <rPr>
        <sz val="11"/>
        <color theme="1"/>
        <rFont val="Calibri"/>
        <family val="2"/>
        <scheme val="minor"/>
      </rPr>
      <t xml:space="preserve"> totales</t>
    </r>
  </si>
  <si>
    <r>
      <t xml:space="preserve">Ingresos </t>
    </r>
    <r>
      <rPr>
        <b/>
        <sz val="11"/>
        <color theme="1"/>
        <rFont val="Calibri"/>
        <family val="2"/>
        <scheme val="minor"/>
      </rPr>
      <t>DIFERENTES</t>
    </r>
    <r>
      <rPr>
        <sz val="11"/>
        <color theme="1"/>
        <rFont val="Calibri"/>
        <family val="2"/>
        <scheme val="minor"/>
      </rPr>
      <t xml:space="preserve"> a la exportación de bienes Y SERVICIOS</t>
    </r>
  </si>
  <si>
    <r>
      <t xml:space="preserve">Ingresos </t>
    </r>
    <r>
      <rPr>
        <b/>
        <sz val="11"/>
        <color theme="1"/>
        <rFont val="Calibri"/>
        <family val="2"/>
        <scheme val="minor"/>
      </rPr>
      <t>PROVENIENTES</t>
    </r>
    <r>
      <rPr>
        <sz val="11"/>
        <color theme="1"/>
        <rFont val="Calibri"/>
        <family val="2"/>
        <scheme val="minor"/>
      </rPr>
      <t xml:space="preserve"> de la exportación de bienes Y SERVICIOS</t>
    </r>
  </si>
  <si>
    <t>GANANCIAS OCASIONALES</t>
  </si>
  <si>
    <t xml:space="preserve">ART 307 DEL ET  GO EXENTAS </t>
  </si>
  <si>
    <t>1.</t>
  </si>
  <si>
    <t>PEDRO MURIÓ</t>
  </si>
  <si>
    <t xml:space="preserve">MARIA </t>
  </si>
  <si>
    <t>JUAN</t>
  </si>
  <si>
    <t xml:space="preserve">CASA </t>
  </si>
  <si>
    <t>FINCA</t>
  </si>
  <si>
    <t>CARRO</t>
  </si>
  <si>
    <t>HOY</t>
  </si>
  <si>
    <t>MAÑANA</t>
  </si>
  <si>
    <r>
      <t xml:space="preserve">1. El equivalente a las primeras trece mil (13.000) UVT del valor de un inmueble de vivienda de habitación de propiedad del </t>
    </r>
    <r>
      <rPr>
        <b/>
        <sz val="11"/>
        <color rgb="FFFF0000"/>
        <rFont val="Calibri"/>
        <family val="2"/>
        <scheme val="minor"/>
      </rPr>
      <t>causante.</t>
    </r>
  </si>
  <si>
    <t xml:space="preserve">MARIA VENDE BIEN INMUEBLE POSEIDO </t>
  </si>
  <si>
    <t>VENDE POR</t>
  </si>
  <si>
    <t>COSTO ADQUIS</t>
  </si>
  <si>
    <t>RENTA EXE</t>
  </si>
  <si>
    <t>APERTURABA UNA AFC - RETIRABA SOLO PARA ADQUIIR INMUEBLE  O PAGABA EL CREDITO DEL INMUENLE VENDIDO</t>
  </si>
  <si>
    <t>ANOTACIONES</t>
  </si>
  <si>
    <t>PATRIMONILIO LIQUIDO, ES DECIR, PATRIMONIO BRUTO MENOS DEUDAS A 1 DE ENENERO IGUAL O SUPER A 72,000 UVT</t>
  </si>
  <si>
    <r>
      <rPr>
        <b/>
        <sz val="11"/>
        <color rgb="FFFF0000"/>
        <rFont val="Calibri"/>
        <family val="2"/>
        <scheme val="minor"/>
      </rPr>
      <t>BASE</t>
    </r>
    <r>
      <rPr>
        <sz val="11"/>
        <color theme="1"/>
        <rFont val="Calibri"/>
        <family val="2"/>
        <scheme val="minor"/>
      </rPr>
      <t xml:space="preserve"> X TARIFA</t>
    </r>
  </si>
  <si>
    <t>UNA COSA ES UNA COSA, OTRA COSA ES OTRA COSA.</t>
  </si>
  <si>
    <t>REGLAS DE VALOR PATRIMONIAL.</t>
  </si>
  <si>
    <t>COSTO FISCAL</t>
  </si>
  <si>
    <t>UTILIDAD</t>
  </si>
  <si>
    <t>REGLA PARA DETERMINAR EL VR PATRIMONIAL DE ACCIONES O CUOTAS PARTES EN LA BASE GRAVABLE DEL IP</t>
  </si>
  <si>
    <t>COSTO DE ADQUSICIÒN</t>
  </si>
  <si>
    <t>UVT</t>
  </si>
  <si>
    <r>
      <rPr>
        <b/>
        <sz val="11"/>
        <color rgb="FFFF0000"/>
        <rFont val="Calibri"/>
        <family val="2"/>
        <scheme val="minor"/>
      </rPr>
      <t xml:space="preserve">Utilidad contable o financiera </t>
    </r>
    <r>
      <rPr>
        <sz val="11"/>
        <color theme="1"/>
        <rFont val="Calibri"/>
        <family val="2"/>
        <scheme val="minor"/>
      </rPr>
      <t xml:space="preserve">antes de impuestos (UC): </t>
    </r>
    <r>
      <rPr>
        <b/>
        <sz val="11"/>
        <color theme="1"/>
        <rFont val="Calibri"/>
        <family val="2"/>
        <scheme val="minor"/>
      </rPr>
      <t xml:space="preserve">Será la información de su estado de resultado integral.   </t>
    </r>
  </si>
  <si>
    <r>
      <rPr>
        <b/>
        <sz val="11"/>
        <rFont val="Calibri"/>
        <family val="2"/>
        <scheme val="minor"/>
      </rPr>
      <t>Valor neto</t>
    </r>
    <r>
      <rPr>
        <sz val="11"/>
        <rFont val="Calibri"/>
        <family val="2"/>
        <scheme val="minor"/>
      </rPr>
      <t xml:space="preserve"> </t>
    </r>
    <r>
      <rPr>
        <sz val="11"/>
        <color theme="1"/>
        <rFont val="Calibri"/>
        <family val="2"/>
        <scheme val="minor"/>
      </rPr>
      <t xml:space="preserve">de ingresos por ganancia ocasional que afectan la utilidad contable o financiera VNGO </t>
    </r>
  </si>
  <si>
    <r>
      <t>Rentas exentas por aplicación de tratados para evitar la doble imposición – CAN, las percibidas por el régimen de compañías holding colombianas -CHC y</t>
    </r>
    <r>
      <rPr>
        <b/>
        <sz val="14"/>
        <rFont val="Calibri"/>
        <family val="2"/>
        <scheme val="minor"/>
      </rPr>
      <t xml:space="preserve"> las rentas exentas de que tratan los literales a) y b) del numeral 4 y el numeral 7 del artículo 235-2 del Estatuto Tributario (RE)</t>
    </r>
  </si>
  <si>
    <t>FORMULAR CERO</t>
  </si>
  <si>
    <t>ESTO NADA TIENE QUE VER CON TASA EFECTIVA DE TRIBUTACIÓN.</t>
  </si>
  <si>
    <t>PRESUNCION DEL COSTO DE LA MANO DE OBRA</t>
  </si>
  <si>
    <t>INGRESO GRAVADO</t>
  </si>
  <si>
    <t>REALIDAD</t>
  </si>
  <si>
    <t>MO</t>
  </si>
  <si>
    <t>HECHO GENERADOR NO ES LO MISMO QUE BASE GRAVABLE</t>
  </si>
  <si>
    <t>EL HECHO GENERADOR ES EL QUE SE ACTIVA PARA QUE SE GENERE EL IMPUESTO</t>
  </si>
  <si>
    <t>LA BASE GRAVABLE ES AQUELLA QUE EXISTIENDO EL HECHO GENRADOR SIRVE COMO BASE PARA APLICAR LA TARIFA DEL IMPUESTO.</t>
  </si>
  <si>
    <t>EN EL IMPUESTO AL PATRIMONIO NO ES LO MISMO BASE GRAVABLE QUE HECHO GENERADOR</t>
  </si>
  <si>
    <t xml:space="preserve">HECHO GENERADOR </t>
  </si>
  <si>
    <t>PATRIMONIO LIQUIDO A 1 DE ENERO DE CADA AÑO</t>
  </si>
  <si>
    <t xml:space="preserve">PATRIMONIO BRUTO </t>
  </si>
  <si>
    <t>DEUDAS</t>
  </si>
  <si>
    <t>??? XXXXX</t>
  </si>
  <si>
    <t>PRIMERO DE ENERO DE 2023</t>
  </si>
  <si>
    <t>VIVIVENDA QUE VALE</t>
  </si>
  <si>
    <t>PATRIMONIUO BRUTIO</t>
  </si>
  <si>
    <t>VOY A VER TU DECLARACION DE RENTA 2021</t>
  </si>
  <si>
    <t>AÑO 1</t>
  </si>
  <si>
    <t>AÑO 2</t>
  </si>
  <si>
    <t>AÑO DE LA VENTA</t>
  </si>
  <si>
    <t>FEBRERO DEL AÑO 2</t>
  </si>
  <si>
    <t>AGOSTO - OC AÑO 2</t>
  </si>
  <si>
    <t>AÑO 3</t>
  </si>
  <si>
    <t>AVALUO TECNICO NO SIRVE PARA NADA FISCALMENTE, ASÍ EL PERITO ESTE INSCRITO EN EL VATICANO.</t>
  </si>
  <si>
    <t>REAJUSTADO POR EL 73</t>
  </si>
  <si>
    <t>ENVIAR INFORMACIÓN</t>
  </si>
  <si>
    <t>MINI</t>
  </si>
  <si>
    <t>EXTEMPOR</t>
  </si>
  <si>
    <t>SANCIÓN</t>
  </si>
  <si>
    <t>SANCIÓN 1</t>
  </si>
  <si>
    <t>REDUCCIÓN DE LA SANCIÓN</t>
  </si>
  <si>
    <t>MINIMA</t>
  </si>
  <si>
    <t>1 DE ABRIL DEL 2023</t>
  </si>
  <si>
    <t>DESPUES DEL 1 DE ABRIL DEL 20213</t>
  </si>
  <si>
    <t>LA DIAN DIJO QUE SI ME EQUIVOCABA EN LA PERIODICIDAD DE IVA, MI DECLARACIÓN NO PRODUCÍA EFECTO LEGAL ALGUNO</t>
  </si>
  <si>
    <t>NO ES LO MISMO, UNA DECLARACIÓN QUE NO PRODUZCA EFECTO LEGAL ALGUNO A UNA DECLARACIÓN NO PRESENTADA.</t>
  </si>
  <si>
    <t>CONSEJO DE ESTADO DIJO: SENTENCIA DE 2022 -  SEÑORES DIAN USTEDES NO PUEDEN DECIR ESO PORQUE ESO EXCEDE SU CAPACIDAD</t>
  </si>
  <si>
    <t>DE REGLAMENTACIÓN , NO PUEDEN DETERMINAR ELEMENTOS SANCIONATORIOS, ESO ES DEL LEGISLADOR.</t>
  </si>
  <si>
    <t>BIMESTRAL</t>
  </si>
  <si>
    <t>INCLUIÍ TODA LA INFORMACIÓN EN UNA CUATRIIMESTRAL</t>
  </si>
  <si>
    <t>ARTÍCULO 93 PASO A PASO</t>
  </si>
  <si>
    <t xml:space="preserve">SEGUNDO PASO - APLICO (SI PUEDO) LA REDUCCIÓN DE SANCIÓN DEL 640 </t>
  </si>
  <si>
    <t>TERCER PASO-  AL RESULTADO ANTERIOR LE APLICO LA REDUCCION DEL ARTICULO 93</t>
  </si>
  <si>
    <t>PRIMER PASO - LIQUIDO LA SANCIÓN DEL 642  - EXTEMPORANEIDAD</t>
  </si>
  <si>
    <t>HIJO</t>
  </si>
  <si>
    <t>PADRE</t>
  </si>
  <si>
    <t>ABUELO</t>
  </si>
  <si>
    <t>TIO</t>
  </si>
  <si>
    <t>PRIMO</t>
  </si>
  <si>
    <t>YO</t>
  </si>
  <si>
    <t>EMPRESA XXXX</t>
  </si>
  <si>
    <t>GEREN TE COMERCIAL</t>
  </si>
  <si>
    <t>CARRO - CARRO</t>
  </si>
  <si>
    <t>CYURSO DE INGLES - TE PAGAMOS EL CURSWO DE INGLES</t>
  </si>
  <si>
    <t>EDUCACIÓN DE TU HIJOS TE PAGAMOS LA EDUCACION</t>
  </si>
  <si>
    <t>107-2</t>
  </si>
  <si>
    <t>APUNTES DE LA PRIMERA SESIÓN.</t>
  </si>
  <si>
    <t>1.  ¿Cómo logra esta RT una mayor pogresividad?</t>
  </si>
  <si>
    <t>b. Modificaciones de base gravable.</t>
  </si>
  <si>
    <t xml:space="preserve">BASE </t>
  </si>
  <si>
    <t>TARIFA</t>
  </si>
  <si>
    <t>2. Dos grandes grupos de obligaciones tributarias</t>
  </si>
  <si>
    <t>Obligancion formal - Procedimiental - Sancionatiria</t>
  </si>
  <si>
    <t xml:space="preserve">3. Tome nota </t>
  </si>
  <si>
    <t>Artículo</t>
  </si>
  <si>
    <t>¿Qué hace?</t>
  </si>
  <si>
    <t>Sobre que lo hace</t>
  </si>
  <si>
    <t>Obligaciones sustancial  - 1 enero de 2023</t>
  </si>
  <si>
    <t>a. Eliminar o modificar beneficios tibutarios y tratamientos diferenciales.</t>
  </si>
  <si>
    <t>Ingresos brutos</t>
  </si>
  <si>
    <t>Ingresos no gravados</t>
  </si>
  <si>
    <t>Renta 1</t>
  </si>
  <si>
    <t>Deducciones</t>
  </si>
  <si>
    <t>Sumatoria de estas dos</t>
  </si>
  <si>
    <t>Limite del 40%</t>
  </si>
  <si>
    <t>Rentas exentas</t>
  </si>
  <si>
    <t>Shakira</t>
  </si>
  <si>
    <t>Pique</t>
  </si>
  <si>
    <t>Renta liquida GRAVABLE</t>
  </si>
  <si>
    <t xml:space="preserve">CÉDULA </t>
  </si>
  <si>
    <t>TRABAJO</t>
  </si>
  <si>
    <t>DE CAPITAL</t>
  </si>
  <si>
    <t>NO LABORALES</t>
  </si>
  <si>
    <t>CÉDULA GENERAL</t>
  </si>
  <si>
    <t>DIVIDENDOS</t>
  </si>
  <si>
    <t>PENSIONES</t>
  </si>
  <si>
    <t>3. TRIBUTACIÓN DE LOS DIVIDENDOS DESPUES LA REFORMA TRIBUTARIA.</t>
  </si>
  <si>
    <t>LA TRIBUTACIÓN DE LOS DIVIDENDOS ANTES DE LA REFORMA TRIBUTARIA.</t>
  </si>
  <si>
    <t>DIVIDENDOS GRAVADOS</t>
  </si>
  <si>
    <t>DIVIDENDOS NO GRAVADOS</t>
  </si>
  <si>
    <t>CERTIFICDO DE DIOMEDES</t>
  </si>
  <si>
    <t>2016 EN ADELANTE: NO GRAVADOS ESTAN GRAVADOS</t>
  </si>
  <si>
    <t>RANGOS EN UVT</t>
  </si>
  <si>
    <t>TARIFA MARGINAL</t>
  </si>
  <si>
    <t>IMPUESTO</t>
  </si>
  <si>
    <t>DESDE</t>
  </si>
  <si>
    <t>HASTA</t>
  </si>
  <si>
    <t>&gt;0</t>
  </si>
  <si>
    <t>UVT 2022 $11.401.000</t>
  </si>
  <si>
    <t>&gt;300</t>
  </si>
  <si>
    <t>En adelante</t>
  </si>
  <si>
    <t>(Dividendos en UVT menos 300 UVT*) x 10%</t>
  </si>
  <si>
    <t>PRIMERA PARTE NO GRAVADOS</t>
  </si>
  <si>
    <t>SEGUNDA PARTE GRAVADOS</t>
  </si>
  <si>
    <t>Aplica el 240%</t>
  </si>
  <si>
    <t>Calculo 1</t>
  </si>
  <si>
    <t>Calculo 2</t>
  </si>
  <si>
    <t xml:space="preserve">LA TRIBUTACIÓN DE LOS DIVIDENDOS DESPUES </t>
  </si>
  <si>
    <t>&gt; 0</t>
  </si>
  <si>
    <t>UVT 2023 $46.229.000</t>
  </si>
  <si>
    <t>&gt; 1.090</t>
  </si>
  <si>
    <t>UVT 2023 $72.100.000</t>
  </si>
  <si>
    <t>(Base gravable en UVT menos 1.090 UVT*) × 19%</t>
  </si>
  <si>
    <t>&gt; 1.700</t>
  </si>
  <si>
    <t>UVT 2023 $173.889.000</t>
  </si>
  <si>
    <t>(Base gravable en UVT menos 1.700 UVT*) × 28% + 116 UVT*</t>
  </si>
  <si>
    <t>&gt; 4.100</t>
  </si>
  <si>
    <t>UVT 2023 $367.712.000</t>
  </si>
  <si>
    <t>(Base gravable en UVT menos 4.100 UVT*) × 33% + 788 UVT*</t>
  </si>
  <si>
    <t>&gt; 8.670</t>
  </si>
  <si>
    <t>UVT 2023 $804.556.000</t>
  </si>
  <si>
    <t>(Base gravable en UVT menos 8.670 UVT*) × 35% + 2.296 UVT*</t>
  </si>
  <si>
    <t>&gt; 18.970</t>
  </si>
  <si>
    <t>UVT 2023 $1.314.772.000</t>
  </si>
  <si>
    <t>(Base gravable en UVT menos 18.970 UVT*) × 37% + 5.901 UVT*</t>
  </si>
  <si>
    <t>&gt; 31.000</t>
  </si>
  <si>
    <t>(Base gravable en UVT menos 31.000 UVT*) × 39% + 10.352 UVT*</t>
  </si>
  <si>
    <t>DIVIDENDOS  GRAVADOS</t>
  </si>
  <si>
    <t>PRIMER PASO TARIFA 240</t>
  </si>
  <si>
    <t>TOTAL GRAVADOS</t>
  </si>
  <si>
    <t>TOTAL DIVIDENDOS</t>
  </si>
  <si>
    <t>(Renta líquida cedular de dividendos y &gt;1.090 En adelante 19% participaciones en UVT menos 1.090UVT)x 19%</t>
  </si>
  <si>
    <t>CALCULO DEL DESCUENTO TRIBTUARIO</t>
  </si>
  <si>
    <t>MONMTO DEL DT</t>
  </si>
  <si>
    <t>IMPUESTO POR DIVIDENDOS NO GRAVADOS</t>
  </si>
  <si>
    <t>IMPUESTO POR DIVIDEDOS GRAVADS</t>
  </si>
  <si>
    <t>DESCUUENTO TRIBUTARIO POR DIV</t>
  </si>
  <si>
    <t>VALOR PAGADO</t>
  </si>
  <si>
    <t>Artículo 7 RT - Mofica el 336</t>
  </si>
  <si>
    <t>VALOR RESULTANTE</t>
  </si>
  <si>
    <t>Numeral 3 Ar 336 está aquí</t>
  </si>
  <si>
    <t>Antes de la reforma era 40% sin superar 5040 UVT</t>
  </si>
  <si>
    <t>Despues de la reforma es 40% sin superer 1340 UVT</t>
  </si>
  <si>
    <t>Deducciones dependiente economico</t>
  </si>
  <si>
    <t>en adición al límite establecido en el inciso anterior, setenta y dos (72) UVT por dependiente hasta un máximo
de cuatro ( 4) dependientes.</t>
  </si>
  <si>
    <t>Nueva deducción por DE</t>
  </si>
  <si>
    <t>ARTÍCULO 336  NUEVA DEDUCCIÓN DEL 1%</t>
  </si>
  <si>
    <t>MERCADO</t>
  </si>
  <si>
    <t>COMPRO CARRÓ</t>
  </si>
  <si>
    <t>MANTENIMIENTO A LA CASA</t>
  </si>
  <si>
    <t>VIAJÓ</t>
  </si>
  <si>
    <t>MOTELES DEL AÑO</t>
  </si>
  <si>
    <t>TODOS LOS BIENES Y SERVICIOS</t>
  </si>
  <si>
    <t>DEDUCCIÓN</t>
  </si>
  <si>
    <t>LIMITE</t>
  </si>
  <si>
    <t xml:space="preserve">APTO </t>
  </si>
  <si>
    <t>¿Esto dónde va?</t>
  </si>
  <si>
    <t>Marcela paga una poliza de medicina prepagada en donde tiene afiliada a toda la familia, pagó en el 2023 la suma de $ 20,000,000</t>
  </si>
  <si>
    <t>Contador responsable de IVA y compra papeleria de  10,000,000 año mas IVA</t>
  </si>
  <si>
    <t>Los gastos por los dependientes los puedo toma ¿Educación?</t>
  </si>
  <si>
    <t>1. CONDICION: NO ME ENTREGUE NINGUN OTRO BENEFICIO.</t>
  </si>
  <si>
    <t>2. CONDICIÓN: SOPORTADO CON FEV EN DONDE SE INDIQUE EL EL ES EL ADQUIRIENTE.</t>
  </si>
  <si>
    <t>3 CONDICION: PAGAR LOS BIENES Y SERVICIOS POR UN MEDIO QUE INTERVENGA UN VIGILADO POR LA SUPERFINANCIERA.</t>
  </si>
  <si>
    <t>CARLOS COMPRÓ UN AUDI FINANCIADO CON UN LEASING BANCOLOMBIA POR $ 500,000,000 ¿LO PUEDE TOMAR?</t>
  </si>
  <si>
    <t>4, LA FACTURA EXPEDIDA POR UN OBLIGA.</t>
  </si>
  <si>
    <t>Deducción del 1%</t>
  </si>
  <si>
    <t>Total deducciones</t>
  </si>
  <si>
    <t>Rentas exentas y deducciones</t>
  </si>
  <si>
    <t>limitadas</t>
  </si>
  <si>
    <t>En adicion al limite y el regalmentario nos tendrá que dedcir si afecta o no el 25% de RE</t>
  </si>
  <si>
    <t>MODIFICACIÓN AL 383  . RETENCIÓN POR RENTAS DE TRABAJO SIN RELACION LABORAL</t>
  </si>
  <si>
    <t xml:space="preserve">CARLOS ES CONTADOR PÚBLICO Y TIENE 3 ASISTENTES MEDIENTE RELACIÓN LABORAL. CARLOS ENVÍA CUENTA DE COBRO POR $ 15,000,00 POR CONSULTORIA TRIBTUARIA </t>
  </si>
  <si>
    <t>SI HAY LUGAR PORQUE NO  IMPORTA SUS ASISTENTES YA</t>
  </si>
  <si>
    <t>BASE</t>
  </si>
  <si>
    <t>INGRESO NO GRAVA</t>
  </si>
  <si>
    <t>RENTA L</t>
  </si>
  <si>
    <t>(Ingreso laboral gravado expresado en UVT menos 150 UVT*) x 28% + 10 UVT*</t>
  </si>
  <si>
    <t>¿Qué RETENCIÓN LE PRACTICA?   PRATICAME SIEMPRE DEL 10%</t>
  </si>
  <si>
    <t>CAMBIOS EN TARIFA SERVICIOS HOTELEROS, PARQUES TEMATICOS AGROTURISMO,PARQUES TEMATICOS ECOTURISMO</t>
  </si>
  <si>
    <t>UNA COSA ES UNA COSA Y OTRA COSA ES OTRA COSA</t>
  </si>
  <si>
    <t>UNA COSA ES DECIR QUE TODAS LAS PERSONAS JURÍDICAS LA TIENEN QUE CALCULAR Y OTRA ES DECIR QUE A TODAS LAS PERSONAS</t>
  </si>
  <si>
    <t>JURIDICAS LAS AFECTA.</t>
  </si>
  <si>
    <t>Descuentos Tributarios o Créditos Tributarios (DTC) *</t>
  </si>
  <si>
    <t>ESTADO FINANCIERO  CONTABILIDAD</t>
  </si>
  <si>
    <t>LOS GASTOS CONTABLES QUE FISCALMENTE NO TOMO A LA LUZ DEL ARTICULO 105 DEL ET</t>
  </si>
  <si>
    <t>LOS VOY A BUSCAR ENTRE EL ART 36 Y 57-1DEL ET</t>
  </si>
  <si>
    <t>¿Qué ENTENDER POR VALORNETO?</t>
  </si>
  <si>
    <t>1, INGRESO NO GRAVADO POR SEGURO DE IN</t>
  </si>
  <si>
    <t>INGRESO</t>
  </si>
  <si>
    <t>INGRESO NO GRAVADO</t>
  </si>
  <si>
    <t>307 RENTAS EXETNAS</t>
  </si>
  <si>
    <t>VIVIENDA</t>
  </si>
  <si>
    <t>DONACIÓN</t>
  </si>
  <si>
    <t xml:space="preserve">LA CASA DEL PAPÁ SE LA ASINGAN EN LA SUCESIÓNA MARI AY A JUAN </t>
  </si>
  <si>
    <t xml:space="preserve">JUAN </t>
  </si>
  <si>
    <t>MARIA</t>
  </si>
  <si>
    <t xml:space="preserve">UCT RE </t>
  </si>
  <si>
    <t>CUANDO SE TRIBUTA GANANCIA OCASIONAL? CUANDO TENGO UN INGRESOPOR GANANIA OCASIONAL</t>
  </si>
  <si>
    <t>¿Cuál ES EL INGRESO POR GANANCIAOSACIONAL DE JUAN?</t>
  </si>
  <si>
    <t>RENTA EX</t>
  </si>
  <si>
    <t>IMPUESTO AL PATRIMONIO</t>
  </si>
  <si>
    <t>UNA COSA ES LA BASE GRAVABLE Y OTRA COSA ES EL HECHO GENERADOR.  SON DOS COSAS DISTINTAS</t>
  </si>
  <si>
    <t>SUJETO PASIVO</t>
  </si>
  <si>
    <t>CON BASE GRAVABLE</t>
  </si>
  <si>
    <t>CON H GENERADOR</t>
  </si>
  <si>
    <t>SIN H GENERADOR</t>
  </si>
  <si>
    <t>A</t>
  </si>
  <si>
    <t>B</t>
  </si>
  <si>
    <t>C</t>
  </si>
  <si>
    <t>SIN BASE GRAVABLE</t>
  </si>
  <si>
    <t>PATRIMONIO BRUTO 1 DE ENERO 2023</t>
  </si>
  <si>
    <t>PATRIMONIO LIQUIDI</t>
  </si>
  <si>
    <t>¿Cómo determino este valor?</t>
  </si>
  <si>
    <t>1 de enero del 2023</t>
  </si>
  <si>
    <t>diciembre 31 de 2021 que declaró en la renta durante el 2022,</t>
  </si>
  <si>
    <t xml:space="preserve">Lo voy a declarar en el 2024 renta </t>
  </si>
  <si>
    <t>202 lo voy a declarar en agosto de 2023</t>
  </si>
  <si>
    <t>HEREDA UN INMUEBLE Y UN MUEBLE</t>
  </si>
  <si>
    <t>PATRIMONIO</t>
  </si>
  <si>
    <t>INMUE</t>
  </si>
  <si>
    <t>MUEBLE</t>
  </si>
  <si>
    <t>303 ET</t>
  </si>
  <si>
    <t>valor que nace en el patrimonio</t>
  </si>
  <si>
    <t xml:space="preserve">AÑO A </t>
  </si>
  <si>
    <t>AÑO B</t>
  </si>
  <si>
    <t>SE INCREMENTÓ</t>
  </si>
  <si>
    <t>INGRESO POR GANANCIA OCASIOAN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</si>
</sst>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_-&quot;$&quot;\ * #,##0_-;\-&quot;$&quot;\ * #,##0_-;_-&quot;$&quot;\ * &quot;-&quot;??_-;_-@_-"/>
    <numFmt numFmtId="165" formatCode="0.0%"/>
    <numFmt numFmtId="166" formatCode="_-[$$-240A]\ * #,##0_-;\-[$$-240A]\ * #,##0_-;_-[$$-240A]\ * &quot;-&quot;_-;_-@_-"/>
    <numFmt numFmtId="167" formatCode="_(* #,##0.00_);_(* \(#,##0.00\);_(* &quot;-&quot;??_);_(@_)"/>
    <numFmt numFmtId="168" formatCode="_-* #,##0_-;\-* #,##0_-;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sz val="12"/>
      <color theme="1"/>
      <name val="Arial"/>
      <family val="2"/>
    </font>
    <font>
      <sz val="9"/>
      <color theme="1"/>
      <name val="Arial"/>
      <family val="2"/>
    </font>
    <font>
      <b/>
      <sz val="11"/>
      <color theme="1"/>
      <name val="Arial"/>
      <family val="2"/>
    </font>
    <font>
      <sz val="11"/>
      <color theme="1"/>
      <name val="Arial"/>
      <family val="2"/>
    </font>
    <font>
      <b/>
      <i/>
      <sz val="11"/>
      <color theme="1"/>
      <name val="Calibri"/>
      <family val="2"/>
      <scheme val="minor"/>
    </font>
    <font>
      <b/>
      <i/>
      <sz val="14"/>
      <color theme="1"/>
      <name val="Calibri"/>
      <family val="2"/>
      <scheme val="minor"/>
    </font>
    <font>
      <sz val="14"/>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1"/>
      <color theme="5"/>
      <name val="Calibri"/>
      <family val="2"/>
      <scheme val="minor"/>
    </font>
    <font>
      <sz val="20"/>
      <color theme="1"/>
      <name val="Calibri"/>
      <family val="2"/>
      <scheme val="minor"/>
    </font>
    <font>
      <b/>
      <sz val="22"/>
      <color theme="1"/>
      <name val="Calibri"/>
      <family val="2"/>
      <scheme val="minor"/>
    </font>
    <font>
      <b/>
      <sz val="14"/>
      <color theme="1"/>
      <name val="Arial"/>
      <family val="2"/>
    </font>
    <font>
      <sz val="12"/>
      <color theme="1"/>
      <name val="Calibri"/>
      <family val="2"/>
      <scheme val="minor"/>
    </font>
    <font>
      <sz val="16"/>
      <color theme="1"/>
      <name val="Calibri"/>
      <family val="2"/>
      <scheme val="minor"/>
    </font>
    <font>
      <b/>
      <sz val="14"/>
      <name val="Calibri"/>
      <family val="2"/>
      <scheme val="minor"/>
    </font>
    <font>
      <sz val="11"/>
      <color rgb="FFFF0000"/>
      <name val="Calibri"/>
      <family val="2"/>
      <scheme val="minor"/>
    </font>
    <font>
      <u/>
      <sz val="11"/>
      <color theme="10"/>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i/>
      <sz val="8"/>
      <color rgb="FFFF0000"/>
      <name val="Calibri"/>
      <family val="2"/>
      <scheme val="minor"/>
    </font>
    <font>
      <sz val="11"/>
      <color indexed="81"/>
      <name val="Tahoma"/>
      <family val="2"/>
    </font>
    <font>
      <b/>
      <sz val="11"/>
      <color indexed="81"/>
      <name val="Tahoma"/>
      <family val="2"/>
    </font>
  </fonts>
  <fills count="15">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bgColor indexed="64"/>
      </patternFill>
    </fill>
    <fill>
      <patternFill patternType="solid">
        <fgColor theme="4" tint="0.59999389629810485"/>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rgb="FFDCDCDC"/>
        <bgColor indexed="64"/>
      </patternFill>
    </fill>
    <fill>
      <patternFill patternType="solid">
        <fgColor theme="7" tint="0.39997558519241921"/>
        <bgColor indexed="64"/>
      </patternFill>
    </fill>
    <fill>
      <patternFill patternType="solid">
        <fgColor theme="5" tint="0.39997558519241921"/>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cellStyleXfs>
  <cellXfs count="225">
    <xf numFmtId="0" fontId="0" fillId="0" borderId="0" xfId="0"/>
    <xf numFmtId="44" fontId="0" fillId="0" borderId="0" xfId="1" applyFont="1"/>
    <xf numFmtId="44" fontId="0" fillId="0" borderId="0" xfId="0" applyNumberFormat="1"/>
    <xf numFmtId="0" fontId="2" fillId="0" borderId="0" xfId="0" applyFont="1"/>
    <xf numFmtId="0" fontId="0" fillId="0" borderId="0" xfId="0" applyAlignment="1">
      <alignment horizontal="center" vertical="center" wrapText="1"/>
    </xf>
    <xf numFmtId="164" fontId="0" fillId="0" borderId="0" xfId="0" applyNumberFormat="1"/>
    <xf numFmtId="164" fontId="0" fillId="0" borderId="0" xfId="1" applyNumberFormat="1" applyFont="1"/>
    <xf numFmtId="164" fontId="2" fillId="0" borderId="0" xfId="1" applyNumberFormat="1" applyFont="1"/>
    <xf numFmtId="0" fontId="0" fillId="0" borderId="0" xfId="0" applyAlignment="1">
      <alignment horizontal="center"/>
    </xf>
    <xf numFmtId="0" fontId="4" fillId="0" borderId="0" xfId="0" applyFont="1" applyAlignment="1">
      <alignment horizontal="justify" vertical="center"/>
    </xf>
    <xf numFmtId="0" fontId="5" fillId="0" borderId="0" xfId="0" applyFont="1" applyAlignment="1">
      <alignment horizontal="justify" vertical="center"/>
    </xf>
    <xf numFmtId="0" fontId="0" fillId="0" borderId="7" xfId="0" applyBorder="1" applyAlignment="1">
      <alignment horizontal="center"/>
    </xf>
    <xf numFmtId="0" fontId="0" fillId="0" borderId="0" xfId="0" applyAlignment="1">
      <alignment horizontal="right"/>
    </xf>
    <xf numFmtId="0" fontId="0" fillId="0" borderId="0" xfId="0" applyAlignment="1">
      <alignment wrapText="1" shrinkToFit="1"/>
    </xf>
    <xf numFmtId="0" fontId="6" fillId="0" borderId="0" xfId="0" applyFont="1" applyAlignment="1">
      <alignment horizontal="justify" vertical="center"/>
    </xf>
    <xf numFmtId="0" fontId="6" fillId="0" borderId="0" xfId="0" applyFont="1" applyAlignment="1">
      <alignment horizontal="left" vertical="center" indent="4"/>
    </xf>
    <xf numFmtId="164" fontId="0" fillId="0" borderId="7" xfId="0" applyNumberFormat="1" applyBorder="1"/>
    <xf numFmtId="0" fontId="7" fillId="0" borderId="0" xfId="0" applyFont="1" applyAlignment="1">
      <alignment horizontal="justify" vertical="center"/>
    </xf>
    <xf numFmtId="0" fontId="0" fillId="0" borderId="0" xfId="0" applyAlignment="1">
      <alignment horizontal="left" vertical="center" wrapText="1"/>
    </xf>
    <xf numFmtId="0" fontId="2" fillId="0" borderId="0" xfId="0" applyFont="1" applyAlignment="1">
      <alignment horizontal="center"/>
    </xf>
    <xf numFmtId="0" fontId="2" fillId="0" borderId="0" xfId="0" applyFont="1" applyAlignment="1">
      <alignment horizontal="left" vertical="center" wrapText="1"/>
    </xf>
    <xf numFmtId="0" fontId="0" fillId="0" borderId="10" xfId="0" applyBorder="1" applyAlignment="1">
      <alignment horizontal="left" vertical="center" wrapText="1"/>
    </xf>
    <xf numFmtId="164" fontId="0" fillId="2" borderId="12" xfId="0" applyNumberFormat="1" applyFill="1" applyBorder="1"/>
    <xf numFmtId="9" fontId="0" fillId="0" borderId="0" xfId="2" applyFont="1"/>
    <xf numFmtId="0" fontId="2" fillId="0" borderId="1" xfId="0" applyFont="1" applyBorder="1" applyAlignment="1">
      <alignment horizontal="center"/>
    </xf>
    <xf numFmtId="9" fontId="0" fillId="0" borderId="14" xfId="2" applyFont="1" applyBorder="1"/>
    <xf numFmtId="9" fontId="0" fillId="0" borderId="14" xfId="2" applyFont="1" applyBorder="1" applyAlignment="1">
      <alignment wrapText="1"/>
    </xf>
    <xf numFmtId="164" fontId="0" fillId="2" borderId="2" xfId="1" applyNumberFormat="1" applyFont="1" applyFill="1" applyBorder="1"/>
    <xf numFmtId="164" fontId="1" fillId="0" borderId="0" xfId="1" applyNumberFormat="1" applyFont="1"/>
    <xf numFmtId="0" fontId="8" fillId="0" borderId="0" xfId="0" applyFont="1" applyAlignment="1">
      <alignment horizontal="justify" vertic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2" fillId="3" borderId="13" xfId="0" applyFont="1" applyFill="1" applyBorder="1" applyAlignment="1">
      <alignment vertical="center" wrapText="1"/>
    </xf>
    <xf numFmtId="0" fontId="3" fillId="4" borderId="13" xfId="0" applyFont="1" applyFill="1" applyBorder="1" applyAlignment="1">
      <alignment vertical="center" wrapText="1"/>
    </xf>
    <xf numFmtId="166" fontId="0" fillId="0" borderId="21" xfId="0" applyNumberFormat="1" applyBorder="1"/>
    <xf numFmtId="166" fontId="0" fillId="0" borderId="12" xfId="0" applyNumberFormat="1" applyBorder="1"/>
    <xf numFmtId="9" fontId="0" fillId="0" borderId="20" xfId="2" applyFont="1" applyBorder="1"/>
    <xf numFmtId="166" fontId="0" fillId="0" borderId="0" xfId="0" applyNumberFormat="1"/>
    <xf numFmtId="0" fontId="2" fillId="3" borderId="15" xfId="0" applyFont="1" applyFill="1" applyBorder="1"/>
    <xf numFmtId="166" fontId="2" fillId="3" borderId="8" xfId="0" applyNumberFormat="1" applyFont="1" applyFill="1" applyBorder="1"/>
    <xf numFmtId="0" fontId="8" fillId="0" borderId="0" xfId="0" applyFont="1"/>
    <xf numFmtId="0" fontId="8" fillId="0" borderId="0" xfId="0" applyFont="1" applyAlignment="1">
      <alignment horizontal="center"/>
    </xf>
    <xf numFmtId="0" fontId="7" fillId="0" borderId="0" xfId="0" applyFont="1"/>
    <xf numFmtId="0" fontId="7" fillId="0" borderId="0" xfId="0" applyFont="1" applyAlignment="1">
      <alignment horizontal="center"/>
    </xf>
    <xf numFmtId="43" fontId="7" fillId="0" borderId="0" xfId="0" applyNumberFormat="1" applyFont="1"/>
    <xf numFmtId="167" fontId="8" fillId="0" borderId="0" xfId="3" applyNumberFormat="1" applyFont="1" applyBorder="1" applyAlignment="1">
      <alignment horizontal="right" vertical="top" wrapText="1"/>
    </xf>
    <xf numFmtId="43" fontId="8" fillId="0" borderId="0" xfId="3" applyFont="1" applyBorder="1" applyAlignment="1">
      <alignment horizontal="right" vertical="top" wrapText="1"/>
    </xf>
    <xf numFmtId="167" fontId="8" fillId="0" borderId="7" xfId="3" applyNumberFormat="1" applyFont="1" applyBorder="1" applyAlignment="1">
      <alignment horizontal="right" vertical="top" wrapText="1"/>
    </xf>
    <xf numFmtId="167" fontId="7" fillId="0" borderId="0" xfId="3" applyNumberFormat="1" applyFont="1" applyBorder="1" applyAlignment="1">
      <alignment horizontal="right" vertical="top" wrapText="1"/>
    </xf>
    <xf numFmtId="167" fontId="8" fillId="0" borderId="0" xfId="0" applyNumberFormat="1" applyFont="1"/>
    <xf numFmtId="10" fontId="7" fillId="0" borderId="0" xfId="2" applyNumberFormat="1" applyFont="1"/>
    <xf numFmtId="0" fontId="8" fillId="5" borderId="0" xfId="0" applyFont="1" applyFill="1"/>
    <xf numFmtId="0" fontId="7" fillId="5" borderId="0" xfId="0" applyFont="1" applyFill="1"/>
    <xf numFmtId="10" fontId="7" fillId="5" borderId="0" xfId="2" applyNumberFormat="1" applyFont="1" applyFill="1"/>
    <xf numFmtId="0" fontId="8" fillId="0" borderId="0" xfId="0" applyFont="1" applyAlignment="1">
      <alignment wrapText="1"/>
    </xf>
    <xf numFmtId="43" fontId="8" fillId="0" borderId="0" xfId="0" applyNumberFormat="1" applyFont="1"/>
    <xf numFmtId="43" fontId="7" fillId="5" borderId="0" xfId="3" applyFont="1" applyFill="1"/>
    <xf numFmtId="0" fontId="0" fillId="5" borderId="0" xfId="0" applyFill="1"/>
    <xf numFmtId="9" fontId="0" fillId="0" borderId="0" xfId="0" applyNumberFormat="1"/>
    <xf numFmtId="0" fontId="0" fillId="6" borderId="7" xfId="0" applyFill="1" applyBorder="1" applyAlignment="1">
      <alignment horizontal="center"/>
    </xf>
    <xf numFmtId="0" fontId="4" fillId="6" borderId="0" xfId="0" applyFont="1" applyFill="1" applyAlignment="1">
      <alignment horizontal="justify" vertical="center"/>
    </xf>
    <xf numFmtId="0" fontId="0" fillId="9" borderId="0" xfId="0" applyFill="1"/>
    <xf numFmtId="44" fontId="0" fillId="9" borderId="0" xfId="0" applyNumberFormat="1" applyFill="1"/>
    <xf numFmtId="44" fontId="0" fillId="9" borderId="0" xfId="1" applyFont="1" applyFill="1"/>
    <xf numFmtId="164" fontId="0" fillId="9" borderId="0" xfId="1" applyNumberFormat="1" applyFont="1" applyFill="1"/>
    <xf numFmtId="164" fontId="0" fillId="9" borderId="0" xfId="0" applyNumberFormat="1" applyFill="1"/>
    <xf numFmtId="0" fontId="0" fillId="5" borderId="7" xfId="0" applyFill="1" applyBorder="1" applyAlignment="1">
      <alignment horizontal="center"/>
    </xf>
    <xf numFmtId="167" fontId="8" fillId="5" borderId="0" xfId="3" applyNumberFormat="1" applyFont="1" applyFill="1" applyBorder="1" applyAlignment="1">
      <alignment horizontal="right" vertical="top" wrapText="1"/>
    </xf>
    <xf numFmtId="10" fontId="18" fillId="5" borderId="0" xfId="2" applyNumberFormat="1" applyFont="1" applyFill="1"/>
    <xf numFmtId="0" fontId="0" fillId="0" borderId="0" xfId="0" applyAlignment="1">
      <alignment wrapText="1"/>
    </xf>
    <xf numFmtId="0" fontId="0" fillId="0" borderId="0" xfId="0" applyAlignment="1">
      <alignment vertical="center" wrapText="1"/>
    </xf>
    <xf numFmtId="0" fontId="2" fillId="0" borderId="0" xfId="0" applyFont="1" applyAlignment="1">
      <alignment wrapText="1"/>
    </xf>
    <xf numFmtId="168" fontId="0" fillId="0" borderId="0" xfId="3" applyNumberFormat="1" applyFont="1"/>
    <xf numFmtId="164" fontId="0" fillId="5" borderId="0" xfId="1" applyNumberFormat="1" applyFont="1" applyFill="1"/>
    <xf numFmtId="164" fontId="0" fillId="10" borderId="0" xfId="1" applyNumberFormat="1" applyFont="1" applyFill="1"/>
    <xf numFmtId="0" fontId="0" fillId="10" borderId="0" xfId="0" applyFill="1"/>
    <xf numFmtId="164" fontId="0" fillId="10" borderId="0" xfId="0" applyNumberFormat="1" applyFill="1"/>
    <xf numFmtId="0" fontId="0" fillId="11" borderId="0" xfId="0" applyFill="1"/>
    <xf numFmtId="164" fontId="0" fillId="11" borderId="0" xfId="1" applyNumberFormat="1" applyFont="1" applyFill="1"/>
    <xf numFmtId="168" fontId="0" fillId="5" borderId="0" xfId="3" applyNumberFormat="1" applyFont="1" applyFill="1"/>
    <xf numFmtId="164" fontId="0" fillId="5" borderId="0" xfId="0" applyNumberFormat="1" applyFill="1"/>
    <xf numFmtId="44" fontId="2" fillId="9" borderId="0" xfId="0" applyNumberFormat="1" applyFont="1" applyFill="1" applyAlignment="1">
      <alignment horizontal="center"/>
    </xf>
    <xf numFmtId="165" fontId="0" fillId="9" borderId="0" xfId="2" applyNumberFormat="1" applyFont="1" applyFill="1" applyBorder="1" applyAlignment="1">
      <alignment horizontal="center" vertical="center" wrapText="1"/>
    </xf>
    <xf numFmtId="0" fontId="2" fillId="7" borderId="0" xfId="0" applyFont="1" applyFill="1" applyAlignment="1">
      <alignment horizontal="center"/>
    </xf>
    <xf numFmtId="0" fontId="2" fillId="8" borderId="13" xfId="0" applyFont="1" applyFill="1" applyBorder="1" applyAlignment="1">
      <alignment vertical="center" wrapText="1"/>
    </xf>
    <xf numFmtId="166" fontId="0" fillId="8" borderId="20" xfId="0" applyNumberFormat="1" applyFill="1" applyBorder="1"/>
    <xf numFmtId="166" fontId="11" fillId="8" borderId="20" xfId="0" applyNumberFormat="1" applyFont="1" applyFill="1" applyBorder="1"/>
    <xf numFmtId="0" fontId="0" fillId="8" borderId="0" xfId="0" applyFill="1"/>
    <xf numFmtId="164" fontId="0" fillId="8" borderId="0" xfId="1" applyNumberFormat="1" applyFont="1" applyFill="1"/>
    <xf numFmtId="164" fontId="20" fillId="5" borderId="0" xfId="1" applyNumberFormat="1" applyFont="1" applyFill="1"/>
    <xf numFmtId="168" fontId="0" fillId="0" borderId="0" xfId="0" applyNumberFormat="1"/>
    <xf numFmtId="0" fontId="0" fillId="9" borderId="0" xfId="0" applyFill="1" applyAlignment="1">
      <alignment horizontal="center"/>
    </xf>
    <xf numFmtId="165" fontId="0" fillId="0" borderId="0" xfId="2" applyNumberFormat="1" applyFont="1"/>
    <xf numFmtId="0" fontId="2" fillId="9" borderId="0" xfId="0" applyFont="1" applyFill="1"/>
    <xf numFmtId="9" fontId="0" fillId="9" borderId="0" xfId="0" applyNumberFormat="1" applyFill="1"/>
    <xf numFmtId="0" fontId="0" fillId="2" borderId="0" xfId="0" applyFill="1"/>
    <xf numFmtId="0" fontId="24" fillId="2" borderId="0" xfId="0" applyFont="1" applyFill="1"/>
    <xf numFmtId="164" fontId="22" fillId="9" borderId="0" xfId="1" applyNumberFormat="1" applyFont="1" applyFill="1"/>
    <xf numFmtId="164" fontId="2" fillId="9" borderId="0" xfId="1" applyNumberFormat="1" applyFont="1" applyFill="1"/>
    <xf numFmtId="0" fontId="0" fillId="6" borderId="0" xfId="0" applyFill="1"/>
    <xf numFmtId="0" fontId="2" fillId="12" borderId="22" xfId="0" applyFont="1" applyFill="1" applyBorder="1" applyAlignment="1">
      <alignment horizontal="center" vertical="center" wrapText="1"/>
    </xf>
    <xf numFmtId="0" fontId="27" fillId="0" borderId="26" xfId="0" applyFont="1" applyBorder="1" applyAlignment="1">
      <alignment horizontal="center" vertical="center" wrapText="1"/>
    </xf>
    <xf numFmtId="0" fontId="26" fillId="0" borderId="22" xfId="0" applyFont="1" applyBorder="1" applyAlignment="1">
      <alignment horizontal="center" vertical="center" wrapText="1"/>
    </xf>
    <xf numFmtId="9" fontId="26" fillId="0" borderId="22" xfId="0" applyNumberFormat="1" applyFont="1" applyBorder="1" applyAlignment="1">
      <alignment horizontal="center" vertical="center" wrapText="1"/>
    </xf>
    <xf numFmtId="0" fontId="23" fillId="0" borderId="22" xfId="4" applyBorder="1" applyAlignment="1">
      <alignment horizontal="center" vertical="center" wrapText="1"/>
    </xf>
    <xf numFmtId="164" fontId="0" fillId="13" borderId="0" xfId="1" applyNumberFormat="1" applyFont="1" applyFill="1"/>
    <xf numFmtId="0" fontId="0" fillId="13" borderId="0" xfId="0" applyFill="1"/>
    <xf numFmtId="0" fontId="2" fillId="12" borderId="27" xfId="0" applyFont="1" applyFill="1" applyBorder="1" applyAlignment="1">
      <alignment horizontal="center" vertical="center" wrapText="1"/>
    </xf>
    <xf numFmtId="3" fontId="26" fillId="0" borderId="30" xfId="0" applyNumberFormat="1" applyFont="1" applyBorder="1" applyAlignment="1">
      <alignment horizontal="center" vertical="center" wrapText="1"/>
    </xf>
    <xf numFmtId="0" fontId="27" fillId="0" borderId="31" xfId="0" applyFont="1" applyBorder="1" applyAlignment="1">
      <alignment horizontal="center" vertical="center" wrapText="1"/>
    </xf>
    <xf numFmtId="0" fontId="26" fillId="0" borderId="27" xfId="0" applyFont="1" applyBorder="1" applyAlignment="1">
      <alignment horizontal="center" vertical="center" wrapText="1"/>
    </xf>
    <xf numFmtId="9" fontId="26" fillId="0" borderId="27" xfId="0" applyNumberFormat="1" applyFont="1" applyBorder="1" applyAlignment="1">
      <alignment horizontal="center" vertical="center" wrapText="1"/>
    </xf>
    <xf numFmtId="0" fontId="25" fillId="0" borderId="27" xfId="0" applyFont="1" applyBorder="1" applyAlignment="1">
      <alignment horizontal="center" vertical="center" wrapText="1"/>
    </xf>
    <xf numFmtId="3" fontId="26" fillId="13" borderId="30" xfId="0" applyNumberFormat="1" applyFont="1" applyFill="1" applyBorder="1" applyAlignment="1">
      <alignment horizontal="center" vertical="center" wrapText="1"/>
    </xf>
    <xf numFmtId="0" fontId="27" fillId="13" borderId="31" xfId="0" applyFont="1" applyFill="1" applyBorder="1" applyAlignment="1">
      <alignment horizontal="center" vertical="center" wrapText="1"/>
    </xf>
    <xf numFmtId="1" fontId="0" fillId="9" borderId="0" xfId="0" applyNumberFormat="1" applyFill="1"/>
    <xf numFmtId="0" fontId="2" fillId="13" borderId="25" xfId="0" applyFont="1" applyFill="1" applyBorder="1" applyAlignment="1">
      <alignment horizontal="center" vertical="center" wrapText="1"/>
    </xf>
    <xf numFmtId="3" fontId="2" fillId="13" borderId="30" xfId="0" applyNumberFormat="1" applyFont="1" applyFill="1" applyBorder="1" applyAlignment="1">
      <alignment horizontal="center" vertical="center" wrapText="1"/>
    </xf>
    <xf numFmtId="164" fontId="0" fillId="13" borderId="0" xfId="0" applyNumberFormat="1" applyFill="1"/>
    <xf numFmtId="0" fontId="0" fillId="9" borderId="0" xfId="0" applyFill="1" applyAlignment="1">
      <alignment horizontal="center" vertical="center" wrapText="1"/>
    </xf>
    <xf numFmtId="168" fontId="0" fillId="10" borderId="0" xfId="3" applyNumberFormat="1" applyFont="1" applyFill="1"/>
    <xf numFmtId="168" fontId="0" fillId="9" borderId="0" xfId="0" applyNumberFormat="1" applyFill="1"/>
    <xf numFmtId="164" fontId="14" fillId="9" borderId="0" xfId="1" applyNumberFormat="1" applyFont="1" applyFill="1"/>
    <xf numFmtId="164" fontId="1" fillId="9" borderId="0" xfId="1" applyNumberFormat="1" applyFont="1" applyFill="1"/>
    <xf numFmtId="0" fontId="25" fillId="0" borderId="0" xfId="0" applyFont="1" applyAlignment="1">
      <alignment horizontal="center" vertical="center"/>
    </xf>
    <xf numFmtId="10" fontId="0" fillId="0" borderId="0" xfId="2" applyNumberFormat="1" applyFont="1"/>
    <xf numFmtId="0" fontId="2" fillId="10" borderId="0" xfId="0" applyFont="1" applyFill="1"/>
    <xf numFmtId="0" fontId="0" fillId="9" borderId="7" xfId="0" applyFill="1" applyBorder="1" applyAlignment="1">
      <alignment horizontal="center"/>
    </xf>
    <xf numFmtId="0" fontId="0" fillId="9" borderId="0" xfId="0" applyFill="1" applyAlignment="1">
      <alignment horizontal="right"/>
    </xf>
    <xf numFmtId="0" fontId="6" fillId="9" borderId="0" xfId="0" applyFont="1" applyFill="1" applyAlignment="1">
      <alignment horizontal="justify" vertical="center"/>
    </xf>
    <xf numFmtId="0" fontId="6" fillId="9" borderId="0" xfId="0" applyFont="1" applyFill="1" applyAlignment="1">
      <alignment horizontal="left" vertical="center" indent="4"/>
    </xf>
    <xf numFmtId="0" fontId="7" fillId="9" borderId="0" xfId="0" applyFont="1" applyFill="1" applyAlignment="1">
      <alignment horizontal="justify" vertical="center"/>
    </xf>
    <xf numFmtId="0" fontId="0" fillId="9" borderId="0" xfId="0" applyFill="1" applyAlignment="1">
      <alignment horizontal="left" vertical="center" wrapText="1"/>
    </xf>
    <xf numFmtId="0" fontId="19" fillId="9" borderId="0" xfId="0" applyFont="1" applyFill="1" applyAlignment="1">
      <alignment horizontal="left" vertical="center" wrapText="1"/>
    </xf>
    <xf numFmtId="0" fontId="14" fillId="9" borderId="0" xfId="0" applyFont="1" applyFill="1" applyAlignment="1">
      <alignment horizontal="left" vertical="center" wrapText="1"/>
    </xf>
    <xf numFmtId="164" fontId="0" fillId="9" borderId="7" xfId="0" applyNumberFormat="1" applyFill="1" applyBorder="1"/>
    <xf numFmtId="0" fontId="0" fillId="9" borderId="10" xfId="0" applyFill="1" applyBorder="1" applyAlignment="1">
      <alignment horizontal="left" vertical="center" wrapText="1"/>
    </xf>
    <xf numFmtId="0" fontId="16" fillId="9" borderId="0" xfId="0" applyFont="1" applyFill="1"/>
    <xf numFmtId="164" fontId="0" fillId="9" borderId="12" xfId="0" applyNumberFormat="1" applyFill="1" applyBorder="1"/>
    <xf numFmtId="164" fontId="17" fillId="9" borderId="0" xfId="0" applyNumberFormat="1" applyFont="1" applyFill="1"/>
    <xf numFmtId="0" fontId="5" fillId="6" borderId="0" xfId="0" applyFont="1" applyFill="1" applyAlignment="1">
      <alignment horizontal="justify" vertical="center"/>
    </xf>
    <xf numFmtId="0" fontId="0" fillId="6" borderId="0" xfId="0" applyFill="1" applyAlignment="1">
      <alignment wrapText="1" shrinkToFit="1"/>
    </xf>
    <xf numFmtId="0" fontId="2" fillId="6" borderId="0" xfId="0" applyFont="1" applyFill="1"/>
    <xf numFmtId="164" fontId="2" fillId="6" borderId="0" xfId="1" applyNumberFormat="1" applyFont="1" applyFill="1"/>
    <xf numFmtId="0" fontId="20" fillId="14" borderId="0" xfId="0" applyFont="1" applyFill="1" applyAlignment="1">
      <alignment horizontal="center"/>
    </xf>
    <xf numFmtId="0" fontId="0" fillId="14" borderId="0" xfId="0" applyFill="1" applyAlignment="1">
      <alignment horizontal="left" vertical="center" wrapText="1"/>
    </xf>
    <xf numFmtId="164" fontId="0" fillId="14" borderId="0" xfId="1" applyNumberFormat="1" applyFont="1" applyFill="1"/>
    <xf numFmtId="164" fontId="2" fillId="14" borderId="0" xfId="0" applyNumberFormat="1" applyFont="1" applyFill="1"/>
    <xf numFmtId="0" fontId="8" fillId="14" borderId="0" xfId="0" applyFont="1" applyFill="1"/>
    <xf numFmtId="167" fontId="8" fillId="14" borderId="0" xfId="3" applyNumberFormat="1" applyFont="1" applyFill="1" applyBorder="1" applyAlignment="1">
      <alignment horizontal="right" vertical="top" wrapText="1"/>
    </xf>
    <xf numFmtId="43" fontId="8" fillId="14" borderId="0" xfId="3" applyFont="1" applyFill="1" applyBorder="1" applyAlignment="1">
      <alignment horizontal="right" vertical="top" wrapText="1"/>
    </xf>
    <xf numFmtId="0" fontId="0" fillId="6" borderId="0" xfId="0" applyFill="1" applyAlignment="1">
      <alignment horizontal="center"/>
    </xf>
    <xf numFmtId="0" fontId="2" fillId="12" borderId="23"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2" fillId="12" borderId="26"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9" fontId="26" fillId="0" borderId="25" xfId="0" applyNumberFormat="1" applyFont="1" applyBorder="1" applyAlignment="1">
      <alignment horizontal="center" vertical="center" wrapText="1"/>
    </xf>
    <xf numFmtId="9" fontId="26" fillId="0" borderId="26" xfId="0" applyNumberFormat="1"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 fillId="12" borderId="28"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2" fillId="12" borderId="30"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9" fontId="26" fillId="0" borderId="30" xfId="0" applyNumberFormat="1" applyFont="1" applyBorder="1" applyAlignment="1">
      <alignment horizontal="center" vertical="center" wrapText="1"/>
    </xf>
    <xf numFmtId="9" fontId="26" fillId="0" borderId="31" xfId="0" applyNumberFormat="1"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3" fillId="0" borderId="30" xfId="4" applyBorder="1" applyAlignment="1">
      <alignment horizontal="center" vertical="center" wrapText="1"/>
    </xf>
    <xf numFmtId="0" fontId="23" fillId="0" borderId="31" xfId="4" applyBorder="1" applyAlignment="1">
      <alignment horizontal="center" vertical="center" wrapText="1"/>
    </xf>
    <xf numFmtId="0" fontId="26" fillId="13" borderId="30" xfId="0" applyFont="1" applyFill="1" applyBorder="1" applyAlignment="1">
      <alignment horizontal="center" vertical="center" wrapText="1"/>
    </xf>
    <xf numFmtId="0" fontId="26" fillId="13" borderId="31" xfId="0" applyFont="1" applyFill="1" applyBorder="1" applyAlignment="1">
      <alignment horizontal="center" vertical="center" wrapText="1"/>
    </xf>
    <xf numFmtId="9" fontId="26" fillId="13" borderId="30" xfId="0" applyNumberFormat="1" applyFont="1" applyFill="1" applyBorder="1" applyAlignment="1">
      <alignment horizontal="center" vertical="center" wrapText="1"/>
    </xf>
    <xf numFmtId="9" fontId="26" fillId="13" borderId="31" xfId="0" applyNumberFormat="1" applyFont="1" applyFill="1" applyBorder="1" applyAlignment="1">
      <alignment horizontal="center" vertical="center" wrapText="1"/>
    </xf>
    <xf numFmtId="0" fontId="25" fillId="13" borderId="30" xfId="0" applyFont="1" applyFill="1" applyBorder="1" applyAlignment="1">
      <alignment horizontal="center" vertical="center" wrapText="1"/>
    </xf>
    <xf numFmtId="0" fontId="25" fillId="13" borderId="31" xfId="0" applyFont="1" applyFill="1" applyBorder="1" applyAlignment="1">
      <alignment horizontal="center" vertical="center" wrapText="1"/>
    </xf>
    <xf numFmtId="0" fontId="0" fillId="9" borderId="0" xfId="0" applyFill="1" applyAlignment="1">
      <alignment horizontal="center" vertical="center" wrapText="1"/>
    </xf>
    <xf numFmtId="0" fontId="0" fillId="9" borderId="0" xfId="0" applyFill="1" applyAlignment="1">
      <alignment horizontal="center"/>
    </xf>
    <xf numFmtId="165" fontId="0" fillId="9" borderId="1" xfId="2" applyNumberFormat="1" applyFont="1" applyFill="1" applyBorder="1" applyAlignment="1">
      <alignment horizontal="center" vertical="center" wrapText="1"/>
    </xf>
    <xf numFmtId="165" fontId="0" fillId="9" borderId="2" xfId="2" applyNumberFormat="1" applyFont="1" applyFill="1" applyBorder="1" applyAlignment="1">
      <alignment horizontal="center" vertical="center" wrapText="1"/>
    </xf>
    <xf numFmtId="0" fontId="0" fillId="9" borderId="0" xfId="0" applyFill="1" applyAlignment="1">
      <alignment horizontal="right" vertical="center" wrapText="1"/>
    </xf>
    <xf numFmtId="0" fontId="3" fillId="7" borderId="0" xfId="0" applyFont="1" applyFill="1" applyAlignment="1">
      <alignment horizontal="center"/>
    </xf>
    <xf numFmtId="0" fontId="2" fillId="9" borderId="9" xfId="0" applyFont="1" applyFill="1" applyBorder="1" applyAlignment="1">
      <alignment horizontal="left" vertical="center" wrapText="1"/>
    </xf>
    <xf numFmtId="0" fontId="2" fillId="9" borderId="11" xfId="0" applyFont="1" applyFill="1" applyBorder="1" applyAlignment="1">
      <alignment horizontal="left" vertical="center" wrapText="1"/>
    </xf>
    <xf numFmtId="0" fontId="0" fillId="7" borderId="0" xfId="0" applyFill="1" applyAlignment="1">
      <alignment horizontal="center" vertical="center" wrapText="1"/>
    </xf>
    <xf numFmtId="0" fontId="6" fillId="9" borderId="0" xfId="0" applyFont="1" applyFill="1" applyAlignment="1">
      <alignment horizontal="left" vertical="center" wrapText="1"/>
    </xf>
    <xf numFmtId="0" fontId="6" fillId="9" borderId="0" xfId="0" applyFont="1" applyFill="1" applyAlignment="1">
      <alignment vertical="center" wrapText="1"/>
    </xf>
    <xf numFmtId="0" fontId="3" fillId="9" borderId="0" xfId="0" applyFont="1" applyFill="1" applyAlignment="1">
      <alignment horizontal="center" vertical="center" wrapText="1" shrinkToFit="1"/>
    </xf>
    <xf numFmtId="165" fontId="0" fillId="2" borderId="1" xfId="2" applyNumberFormat="1" applyFont="1" applyFill="1" applyBorder="1" applyAlignment="1">
      <alignment horizontal="center" vertical="center" wrapText="1"/>
    </xf>
    <xf numFmtId="165" fontId="0" fillId="2" borderId="2" xfId="2" applyNumberFormat="1"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3" fillId="0" borderId="0" xfId="0" applyFont="1" applyAlignment="1">
      <alignment horizontal="center"/>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right" vertical="center" wrapText="1"/>
    </xf>
    <xf numFmtId="0" fontId="7" fillId="0" borderId="0" xfId="0" applyFont="1" applyAlignment="1">
      <alignment horizontal="center"/>
    </xf>
    <xf numFmtId="0" fontId="0" fillId="0" borderId="0" xfId="0" applyAlignment="1">
      <alignment vertical="center" wrapText="1"/>
    </xf>
    <xf numFmtId="0" fontId="2" fillId="0" borderId="0" xfId="0" applyFont="1" applyAlignment="1">
      <alignment horizontal="center"/>
    </xf>
    <xf numFmtId="9" fontId="0" fillId="0" borderId="0" xfId="2" applyFont="1" applyAlignment="1">
      <alignment horizontal="center"/>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2" fillId="3" borderId="15" xfId="0" applyFont="1" applyFill="1" applyBorder="1" applyAlignment="1">
      <alignment horizontal="left"/>
    </xf>
    <xf numFmtId="0" fontId="2" fillId="3" borderId="16" xfId="0" applyFont="1" applyFill="1" applyBorder="1" applyAlignment="1">
      <alignment horizontal="left"/>
    </xf>
    <xf numFmtId="0" fontId="0" fillId="9" borderId="19" xfId="0" applyFill="1" applyBorder="1" applyAlignment="1">
      <alignment horizontal="left" vertical="center" wrapText="1"/>
    </xf>
    <xf numFmtId="166" fontId="0" fillId="9" borderId="17" xfId="0" applyNumberFormat="1" applyFill="1" applyBorder="1"/>
    <xf numFmtId="0" fontId="0" fillId="9" borderId="11" xfId="0" applyFill="1" applyBorder="1" applyAlignment="1">
      <alignment horizontal="left" vertical="center" wrapText="1"/>
    </xf>
    <xf numFmtId="166" fontId="0" fillId="9" borderId="18" xfId="0" applyNumberFormat="1" applyFill="1" applyBorder="1"/>
    <xf numFmtId="166" fontId="0" fillId="9" borderId="12" xfId="0" applyNumberFormat="1" applyFill="1" applyBorder="1"/>
    <xf numFmtId="164" fontId="0" fillId="9" borderId="20" xfId="1" applyNumberFormat="1" applyFont="1" applyFill="1" applyBorder="1"/>
    <xf numFmtId="0" fontId="0" fillId="10" borderId="19" xfId="0" applyFill="1" applyBorder="1" applyAlignment="1">
      <alignment horizontal="left" vertical="center" wrapText="1"/>
    </xf>
    <xf numFmtId="166" fontId="0" fillId="10" borderId="17" xfId="0" applyNumberFormat="1" applyFill="1" applyBorder="1"/>
    <xf numFmtId="0" fontId="0" fillId="7" borderId="0" xfId="0" applyFill="1"/>
    <xf numFmtId="164" fontId="0" fillId="7" borderId="0" xfId="0" applyNumberFormat="1" applyFill="1"/>
  </cellXfs>
  <cellStyles count="5">
    <cellStyle name="Hipervínculo" xfId="4" builtinId="8"/>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AD562-9B6B-42B3-9945-9C8DC2E47245}">
  <dimension ref="B3:O94"/>
  <sheetViews>
    <sheetView topLeftCell="A80" workbookViewId="0">
      <selection activeCell="E85" sqref="E84:E85"/>
    </sheetView>
  </sheetViews>
  <sheetFormatPr baseColWidth="10" defaultRowHeight="14.5" x14ac:dyDescent="0.35"/>
  <cols>
    <col min="1" max="1" width="10.90625" style="61"/>
    <col min="2" max="2" width="16.90625" style="61" customWidth="1"/>
    <col min="3" max="3" width="10.90625" style="61"/>
    <col min="4" max="4" width="13.7265625" style="61" customWidth="1"/>
    <col min="5" max="5" width="16.1796875" style="61" bestFit="1" customWidth="1"/>
    <col min="6" max="6" width="10.90625" style="61"/>
    <col min="7" max="7" width="15.08984375" style="61" bestFit="1" customWidth="1"/>
    <col min="8" max="8" width="14.08984375" style="61" bestFit="1" customWidth="1"/>
    <col min="9" max="11" width="10.90625" style="61"/>
    <col min="12" max="12" width="15.08984375" style="61" bestFit="1" customWidth="1"/>
    <col min="13" max="13" width="16.1796875" style="61" bestFit="1" customWidth="1"/>
    <col min="14" max="14" width="13.6328125" style="61" bestFit="1" customWidth="1"/>
    <col min="15" max="15" width="16.1796875" style="61" bestFit="1" customWidth="1"/>
    <col min="16" max="16384" width="10.90625" style="61"/>
  </cols>
  <sheetData>
    <row r="3" spans="2:15" x14ac:dyDescent="0.35">
      <c r="B3" s="93" t="s">
        <v>224</v>
      </c>
    </row>
    <row r="4" spans="2:15" x14ac:dyDescent="0.35">
      <c r="B4" s="93"/>
      <c r="M4" s="91" t="s">
        <v>244</v>
      </c>
      <c r="N4" s="91" t="s">
        <v>245</v>
      </c>
    </row>
    <row r="5" spans="2:15" x14ac:dyDescent="0.35">
      <c r="B5" s="61" t="s">
        <v>225</v>
      </c>
      <c r="K5" s="61" t="s">
        <v>237</v>
      </c>
      <c r="M5" s="64">
        <f>9000000*12</f>
        <v>108000000</v>
      </c>
      <c r="N5" s="64">
        <f>13000000*12</f>
        <v>156000000</v>
      </c>
    </row>
    <row r="6" spans="2:15" x14ac:dyDescent="0.35">
      <c r="B6" s="61" t="s">
        <v>236</v>
      </c>
      <c r="K6" s="61" t="s">
        <v>238</v>
      </c>
      <c r="M6" s="64">
        <f>+M5*8%</f>
        <v>8640000</v>
      </c>
      <c r="N6" s="64">
        <f>+N5*8%</f>
        <v>12480000</v>
      </c>
    </row>
    <row r="7" spans="2:15" x14ac:dyDescent="0.35">
      <c r="B7" s="61" t="s">
        <v>226</v>
      </c>
      <c r="K7" s="61" t="s">
        <v>239</v>
      </c>
      <c r="M7" s="64">
        <f>+M5-M6</f>
        <v>99360000</v>
      </c>
      <c r="N7" s="64">
        <f>+N5-N6</f>
        <v>143520000</v>
      </c>
    </row>
    <row r="8" spans="2:15" x14ac:dyDescent="0.35">
      <c r="M8" s="64"/>
      <c r="N8" s="64"/>
    </row>
    <row r="9" spans="2:15" x14ac:dyDescent="0.35">
      <c r="C9" s="61" t="s">
        <v>227</v>
      </c>
      <c r="D9" s="61">
        <v>100</v>
      </c>
      <c r="E9" s="61" t="s">
        <v>228</v>
      </c>
      <c r="F9" s="94">
        <v>0.1</v>
      </c>
      <c r="G9" s="61">
        <f>+D9*F9</f>
        <v>10</v>
      </c>
      <c r="K9" s="61" t="s">
        <v>240</v>
      </c>
      <c r="M9" s="64"/>
      <c r="N9" s="64"/>
    </row>
    <row r="10" spans="2:15" x14ac:dyDescent="0.35">
      <c r="K10" s="95" t="s">
        <v>243</v>
      </c>
      <c r="M10" s="97">
        <f>(M7-M9)*25%</f>
        <v>24840000</v>
      </c>
      <c r="N10" s="97">
        <f>(N7-N9)*25%</f>
        <v>35880000</v>
      </c>
      <c r="O10" s="98">
        <f>790*42412</f>
        <v>33505480</v>
      </c>
    </row>
    <row r="11" spans="2:15" x14ac:dyDescent="0.35">
      <c r="C11" s="95" t="s">
        <v>227</v>
      </c>
      <c r="D11" s="61">
        <v>150</v>
      </c>
      <c r="E11" s="61" t="s">
        <v>228</v>
      </c>
      <c r="F11" s="94">
        <v>0.1</v>
      </c>
      <c r="G11" s="61">
        <f>+D11*F11</f>
        <v>15</v>
      </c>
      <c r="K11" s="61" t="s">
        <v>241</v>
      </c>
      <c r="M11" s="64">
        <f>+M9+M10</f>
        <v>24840000</v>
      </c>
      <c r="N11" s="64">
        <f>+N9+N10</f>
        <v>35880000</v>
      </c>
    </row>
    <row r="12" spans="2:15" x14ac:dyDescent="0.35">
      <c r="K12" s="61" t="s">
        <v>242</v>
      </c>
      <c r="M12" s="64"/>
      <c r="N12" s="64"/>
    </row>
    <row r="13" spans="2:15" x14ac:dyDescent="0.35">
      <c r="M13" s="64"/>
      <c r="N13" s="64"/>
    </row>
    <row r="14" spans="2:15" x14ac:dyDescent="0.35">
      <c r="B14" s="61" t="s">
        <v>229</v>
      </c>
      <c r="K14" s="95" t="s">
        <v>246</v>
      </c>
      <c r="M14" s="64">
        <f>+M7-M11</f>
        <v>74520000</v>
      </c>
      <c r="N14" s="64">
        <f>+N7-N11</f>
        <v>107640000</v>
      </c>
    </row>
    <row r="15" spans="2:15" x14ac:dyDescent="0.35">
      <c r="C15" s="96" t="s">
        <v>235</v>
      </c>
      <c r="M15" s="64"/>
      <c r="N15" s="64"/>
    </row>
    <row r="16" spans="2:15" x14ac:dyDescent="0.35">
      <c r="C16" s="61" t="s">
        <v>230</v>
      </c>
      <c r="M16" s="64"/>
      <c r="N16" s="64"/>
    </row>
    <row r="17" spans="2:14" x14ac:dyDescent="0.35">
      <c r="M17" s="64"/>
      <c r="N17" s="64"/>
    </row>
    <row r="18" spans="2:14" x14ac:dyDescent="0.35">
      <c r="B18" s="61" t="s">
        <v>231</v>
      </c>
      <c r="K18" s="61" t="s">
        <v>247</v>
      </c>
    </row>
    <row r="19" spans="2:14" x14ac:dyDescent="0.35">
      <c r="C19" s="61" t="s">
        <v>232</v>
      </c>
      <c r="D19" s="61" t="s">
        <v>233</v>
      </c>
      <c r="E19" s="61" t="s">
        <v>234</v>
      </c>
      <c r="K19" s="151" t="s">
        <v>251</v>
      </c>
      <c r="L19" s="151"/>
      <c r="M19" s="151"/>
    </row>
    <row r="20" spans="2:14" x14ac:dyDescent="0.35">
      <c r="K20" s="99" t="s">
        <v>248</v>
      </c>
      <c r="L20" s="99" t="s">
        <v>249</v>
      </c>
      <c r="M20" s="99" t="s">
        <v>250</v>
      </c>
    </row>
    <row r="23" spans="2:14" x14ac:dyDescent="0.35">
      <c r="K23" s="99" t="s">
        <v>253</v>
      </c>
    </row>
    <row r="26" spans="2:14" x14ac:dyDescent="0.35">
      <c r="K26" s="99" t="s">
        <v>252</v>
      </c>
    </row>
    <row r="28" spans="2:14" x14ac:dyDescent="0.35">
      <c r="B28" s="93" t="s">
        <v>254</v>
      </c>
      <c r="H28" s="106"/>
    </row>
    <row r="29" spans="2:14" x14ac:dyDescent="0.35">
      <c r="H29" s="106"/>
    </row>
    <row r="30" spans="2:14" ht="15" thickBot="1" x14ac:dyDescent="0.4">
      <c r="B30" s="61" t="s">
        <v>255</v>
      </c>
      <c r="H30" s="106"/>
      <c r="I30" s="61" t="s">
        <v>275</v>
      </c>
    </row>
    <row r="31" spans="2:14" ht="15" thickBot="1" x14ac:dyDescent="0.4">
      <c r="B31" s="61" t="s">
        <v>258</v>
      </c>
      <c r="H31" s="106"/>
      <c r="I31" s="162" t="s">
        <v>260</v>
      </c>
      <c r="J31" s="163"/>
      <c r="K31" s="164" t="s">
        <v>261</v>
      </c>
      <c r="L31" s="164" t="s">
        <v>262</v>
      </c>
    </row>
    <row r="32" spans="2:14" ht="15" thickBot="1" x14ac:dyDescent="0.4">
      <c r="B32" s="61" t="s">
        <v>256</v>
      </c>
      <c r="E32" s="64">
        <v>50000000</v>
      </c>
      <c r="H32" s="106"/>
      <c r="I32" s="107" t="s">
        <v>263</v>
      </c>
      <c r="J32" s="107" t="s">
        <v>264</v>
      </c>
      <c r="K32" s="165"/>
      <c r="L32" s="165"/>
    </row>
    <row r="33" spans="2:12" x14ac:dyDescent="0.35">
      <c r="B33" s="99" t="s">
        <v>257</v>
      </c>
      <c r="E33" s="64">
        <v>150000000</v>
      </c>
      <c r="F33" s="61">
        <f>+E33/42412</f>
        <v>3536.7348863529191</v>
      </c>
      <c r="H33" s="106"/>
      <c r="I33" s="166" t="s">
        <v>276</v>
      </c>
      <c r="J33" s="117">
        <v>1090</v>
      </c>
      <c r="K33" s="168">
        <v>0</v>
      </c>
      <c r="L33" s="170">
        <v>0</v>
      </c>
    </row>
    <row r="34" spans="2:12" ht="21.5" thickBot="1" x14ac:dyDescent="0.4">
      <c r="H34" s="106"/>
      <c r="I34" s="167"/>
      <c r="J34" s="109" t="s">
        <v>277</v>
      </c>
      <c r="K34" s="169"/>
      <c r="L34" s="171"/>
    </row>
    <row r="35" spans="2:12" ht="51" customHeight="1" x14ac:dyDescent="0.35">
      <c r="B35" s="61" t="s">
        <v>270</v>
      </c>
      <c r="H35" s="106"/>
      <c r="I35" s="166" t="s">
        <v>278</v>
      </c>
      <c r="J35" s="108">
        <v>1700</v>
      </c>
      <c r="K35" s="168">
        <v>0.19</v>
      </c>
      <c r="L35" s="172" t="s">
        <v>280</v>
      </c>
    </row>
    <row r="36" spans="2:12" ht="21.5" thickBot="1" x14ac:dyDescent="0.4">
      <c r="B36" s="61" t="s">
        <v>259</v>
      </c>
      <c r="H36" s="106"/>
      <c r="I36" s="167"/>
      <c r="J36" s="109" t="s">
        <v>279</v>
      </c>
      <c r="K36" s="169"/>
      <c r="L36" s="173"/>
    </row>
    <row r="37" spans="2:12" ht="27.5" customHeight="1" x14ac:dyDescent="0.35">
      <c r="H37" s="106"/>
      <c r="I37" s="174" t="s">
        <v>281</v>
      </c>
      <c r="J37" s="113">
        <v>4100</v>
      </c>
      <c r="K37" s="176">
        <v>0.28000000000000003</v>
      </c>
      <c r="L37" s="178" t="s">
        <v>283</v>
      </c>
    </row>
    <row r="38" spans="2:12" ht="14.5" customHeight="1" thickBot="1" x14ac:dyDescent="0.4">
      <c r="B38" s="152" t="s">
        <v>260</v>
      </c>
      <c r="C38" s="153"/>
      <c r="D38" s="154" t="s">
        <v>261</v>
      </c>
      <c r="E38" s="154" t="s">
        <v>262</v>
      </c>
      <c r="H38" s="106"/>
      <c r="I38" s="175"/>
      <c r="J38" s="114" t="s">
        <v>282</v>
      </c>
      <c r="K38" s="177"/>
      <c r="L38" s="179"/>
    </row>
    <row r="39" spans="2:12" ht="20.5" customHeight="1" x14ac:dyDescent="0.35">
      <c r="B39" s="100" t="s">
        <v>263</v>
      </c>
      <c r="C39" s="100" t="s">
        <v>264</v>
      </c>
      <c r="D39" s="155"/>
      <c r="E39" s="155"/>
      <c r="H39" s="106"/>
      <c r="I39" s="166" t="s">
        <v>284</v>
      </c>
      <c r="J39" s="108">
        <v>8670</v>
      </c>
      <c r="K39" s="168">
        <v>0.33</v>
      </c>
      <c r="L39" s="170" t="s">
        <v>286</v>
      </c>
    </row>
    <row r="40" spans="2:12" ht="21.5" thickBot="1" x14ac:dyDescent="0.4">
      <c r="B40" s="156" t="s">
        <v>265</v>
      </c>
      <c r="C40" s="116">
        <v>300</v>
      </c>
      <c r="D40" s="158">
        <v>0</v>
      </c>
      <c r="E40" s="160">
        <v>0</v>
      </c>
      <c r="H40" s="106"/>
      <c r="I40" s="167"/>
      <c r="J40" s="109" t="s">
        <v>285</v>
      </c>
      <c r="K40" s="169"/>
      <c r="L40" s="171"/>
    </row>
    <row r="41" spans="2:12" ht="21" x14ac:dyDescent="0.35">
      <c r="B41" s="157"/>
      <c r="C41" s="101" t="s">
        <v>266</v>
      </c>
      <c r="D41" s="159"/>
      <c r="E41" s="161"/>
      <c r="H41" s="106"/>
      <c r="I41" s="166" t="s">
        <v>287</v>
      </c>
      <c r="J41" s="108">
        <v>18970</v>
      </c>
      <c r="K41" s="168">
        <v>0.35</v>
      </c>
      <c r="L41" s="170" t="s">
        <v>289</v>
      </c>
    </row>
    <row r="42" spans="2:12" ht="44" thickBot="1" x14ac:dyDescent="0.4">
      <c r="B42" s="102" t="s">
        <v>267</v>
      </c>
      <c r="C42" s="102" t="s">
        <v>268</v>
      </c>
      <c r="D42" s="103">
        <v>0.1</v>
      </c>
      <c r="E42" s="104" t="s">
        <v>269</v>
      </c>
      <c r="H42" s="106"/>
      <c r="I42" s="167"/>
      <c r="J42" s="109" t="s">
        <v>288</v>
      </c>
      <c r="K42" s="169"/>
      <c r="L42" s="171"/>
    </row>
    <row r="43" spans="2:12" ht="31" customHeight="1" x14ac:dyDescent="0.35">
      <c r="B43"/>
      <c r="C43"/>
      <c r="D43"/>
      <c r="E43"/>
      <c r="H43" s="106"/>
      <c r="I43" s="166" t="s">
        <v>290</v>
      </c>
      <c r="J43" s="108">
        <v>31000</v>
      </c>
      <c r="K43" s="168">
        <v>0.37</v>
      </c>
      <c r="L43" s="170" t="s">
        <v>292</v>
      </c>
    </row>
    <row r="44" spans="2:12" ht="21.5" thickBot="1" x14ac:dyDescent="0.4">
      <c r="B44" s="64">
        <f>+E33/42412</f>
        <v>3536.7348863529191</v>
      </c>
      <c r="C44" s="64">
        <f>(B44-300)*10%</f>
        <v>323.67348863529196</v>
      </c>
      <c r="D44" s="105">
        <f>+C44*42412</f>
        <v>13727640.000000002</v>
      </c>
      <c r="E44"/>
      <c r="H44" s="106"/>
      <c r="I44" s="167"/>
      <c r="J44" s="109" t="s">
        <v>291</v>
      </c>
      <c r="K44" s="169"/>
      <c r="L44" s="171"/>
    </row>
    <row r="45" spans="2:12" ht="32" thickBot="1" x14ac:dyDescent="0.4">
      <c r="H45" s="106"/>
      <c r="I45" s="110" t="s">
        <v>293</v>
      </c>
      <c r="J45" s="110" t="s">
        <v>268</v>
      </c>
      <c r="K45" s="111">
        <v>0.39</v>
      </c>
      <c r="L45" s="112" t="s">
        <v>294</v>
      </c>
    </row>
    <row r="46" spans="2:12" x14ac:dyDescent="0.35">
      <c r="H46" s="106"/>
    </row>
    <row r="47" spans="2:12" x14ac:dyDescent="0.35">
      <c r="H47" s="106"/>
      <c r="I47" s="61" t="s">
        <v>257</v>
      </c>
      <c r="L47" s="65">
        <f>+E33</f>
        <v>150000000</v>
      </c>
    </row>
    <row r="48" spans="2:12" x14ac:dyDescent="0.35">
      <c r="B48" s="61" t="s">
        <v>271</v>
      </c>
      <c r="E48" s="65">
        <f>+E32</f>
        <v>50000000</v>
      </c>
      <c r="H48" s="106"/>
      <c r="L48" s="120">
        <f>+L47/42412</f>
        <v>3536.7348863529191</v>
      </c>
    </row>
    <row r="49" spans="3:12" x14ac:dyDescent="0.35">
      <c r="C49" s="61" t="s">
        <v>273</v>
      </c>
      <c r="H49" s="106"/>
      <c r="L49" s="61" t="s">
        <v>283</v>
      </c>
    </row>
    <row r="50" spans="3:12" x14ac:dyDescent="0.35">
      <c r="C50" s="61" t="s">
        <v>272</v>
      </c>
      <c r="E50" s="105">
        <f>+E48*35%</f>
        <v>17500000</v>
      </c>
      <c r="H50" s="106"/>
    </row>
    <row r="51" spans="3:12" x14ac:dyDescent="0.35">
      <c r="H51" s="106"/>
      <c r="L51" s="115">
        <f>+((L48-1700)*28%)+116</f>
        <v>630.28576817881742</v>
      </c>
    </row>
    <row r="52" spans="3:12" x14ac:dyDescent="0.35">
      <c r="C52" s="61" t="s">
        <v>274</v>
      </c>
      <c r="E52" s="64">
        <f>+E48-E50</f>
        <v>32500000</v>
      </c>
      <c r="H52" s="106"/>
      <c r="L52" s="105">
        <f>+L51*42412</f>
        <v>26731680.000000004</v>
      </c>
    </row>
    <row r="53" spans="3:12" x14ac:dyDescent="0.35">
      <c r="E53" s="64">
        <f>+E52/42412</f>
        <v>766.2925587097991</v>
      </c>
      <c r="H53" s="106"/>
    </row>
    <row r="54" spans="3:12" x14ac:dyDescent="0.35">
      <c r="E54" s="64">
        <f>+E53-300</f>
        <v>466.2925587097991</v>
      </c>
      <c r="H54" s="106"/>
    </row>
    <row r="55" spans="3:12" x14ac:dyDescent="0.35">
      <c r="E55" s="64">
        <f>+E54*10%</f>
        <v>46.629255870979911</v>
      </c>
      <c r="H55" s="106"/>
    </row>
    <row r="56" spans="3:12" x14ac:dyDescent="0.35">
      <c r="E56" s="105">
        <f>+E55*42412</f>
        <v>1977640</v>
      </c>
      <c r="H56" s="106"/>
    </row>
    <row r="57" spans="3:12" x14ac:dyDescent="0.35">
      <c r="C57" s="61" t="s">
        <v>297</v>
      </c>
      <c r="E57" s="65">
        <f>+E56+E50</f>
        <v>19477640</v>
      </c>
      <c r="H57" s="106"/>
      <c r="I57" s="61" t="s">
        <v>295</v>
      </c>
    </row>
    <row r="58" spans="3:12" x14ac:dyDescent="0.35">
      <c r="C58" s="61" t="s">
        <v>298</v>
      </c>
      <c r="E58" s="118">
        <f>+E57+D44</f>
        <v>33205280</v>
      </c>
      <c r="H58" s="106"/>
      <c r="J58" s="61" t="s">
        <v>296</v>
      </c>
      <c r="L58" s="105">
        <f>+E32*35%</f>
        <v>17500000</v>
      </c>
    </row>
    <row r="59" spans="3:12" x14ac:dyDescent="0.35">
      <c r="H59" s="106"/>
    </row>
    <row r="60" spans="3:12" x14ac:dyDescent="0.35">
      <c r="H60" s="106"/>
      <c r="J60" s="61" t="s">
        <v>274</v>
      </c>
      <c r="L60" s="65">
        <f>+E32-L58</f>
        <v>32500000</v>
      </c>
    </row>
    <row r="61" spans="3:12" x14ac:dyDescent="0.35">
      <c r="L61" s="64">
        <f>+L60/42412</f>
        <v>766.2925587097991</v>
      </c>
    </row>
    <row r="62" spans="3:12" x14ac:dyDescent="0.35">
      <c r="L62" s="106">
        <v>0</v>
      </c>
    </row>
    <row r="63" spans="3:12" x14ac:dyDescent="0.35">
      <c r="J63" s="61" t="s">
        <v>297</v>
      </c>
      <c r="L63" s="65">
        <f>+L58+L62</f>
        <v>17500000</v>
      </c>
    </row>
    <row r="65" spans="2:13" x14ac:dyDescent="0.35">
      <c r="J65" s="61" t="s">
        <v>298</v>
      </c>
      <c r="L65" s="118">
        <f>+L63+L52</f>
        <v>44231680</v>
      </c>
    </row>
    <row r="69" spans="2:13" ht="33" customHeight="1" x14ac:dyDescent="0.35">
      <c r="J69" s="180" t="s">
        <v>299</v>
      </c>
      <c r="K69" s="180"/>
      <c r="L69" s="180"/>
      <c r="M69" s="180"/>
    </row>
    <row r="71" spans="2:13" x14ac:dyDescent="0.35">
      <c r="J71" s="61" t="s">
        <v>300</v>
      </c>
      <c r="M71" s="121">
        <f>(L48-1090)*19%</f>
        <v>464.87962840705467</v>
      </c>
    </row>
    <row r="72" spans="2:13" x14ac:dyDescent="0.35">
      <c r="L72" s="61" t="s">
        <v>301</v>
      </c>
      <c r="M72" s="64">
        <f>+M71*42412</f>
        <v>19716474.800000001</v>
      </c>
    </row>
    <row r="74" spans="2:13" x14ac:dyDescent="0.35">
      <c r="J74" s="61" t="s">
        <v>302</v>
      </c>
      <c r="M74" s="65">
        <f>+L52</f>
        <v>26731680.000000004</v>
      </c>
    </row>
    <row r="75" spans="2:13" x14ac:dyDescent="0.35">
      <c r="J75" s="61" t="s">
        <v>303</v>
      </c>
      <c r="M75" s="65">
        <f>+L58+L62</f>
        <v>17500000</v>
      </c>
    </row>
    <row r="76" spans="2:13" x14ac:dyDescent="0.35">
      <c r="J76" s="61" t="s">
        <v>304</v>
      </c>
      <c r="M76" s="65">
        <f>+M72</f>
        <v>19716474.800000001</v>
      </c>
    </row>
    <row r="77" spans="2:13" x14ac:dyDescent="0.35">
      <c r="J77" s="61" t="s">
        <v>305</v>
      </c>
      <c r="M77" s="80">
        <f>+M74+M75-M76</f>
        <v>24515205.199999999</v>
      </c>
    </row>
    <row r="78" spans="2:13" x14ac:dyDescent="0.35">
      <c r="B78" s="93" t="s">
        <v>306</v>
      </c>
    </row>
    <row r="80" spans="2:13" x14ac:dyDescent="0.35">
      <c r="B80" s="61" t="s">
        <v>237</v>
      </c>
      <c r="D80" s="64">
        <f>8000000*12</f>
        <v>96000000</v>
      </c>
    </row>
    <row r="81" spans="2:7" x14ac:dyDescent="0.35">
      <c r="B81" s="61" t="s">
        <v>238</v>
      </c>
      <c r="D81" s="64">
        <f>+D80*8%</f>
        <v>7680000</v>
      </c>
    </row>
    <row r="82" spans="2:7" x14ac:dyDescent="0.35">
      <c r="B82" s="93" t="s">
        <v>307</v>
      </c>
      <c r="C82" s="93"/>
      <c r="D82" s="98">
        <f>+D80-D81</f>
        <v>88320000</v>
      </c>
    </row>
    <row r="83" spans="2:7" x14ac:dyDescent="0.35">
      <c r="D83" s="64"/>
    </row>
    <row r="84" spans="2:7" x14ac:dyDescent="0.35">
      <c r="B84" s="61" t="s">
        <v>311</v>
      </c>
      <c r="D84" s="64">
        <f>16286208</f>
        <v>16286208</v>
      </c>
      <c r="E84" s="64">
        <f>32*12*42412</f>
        <v>16286208</v>
      </c>
    </row>
    <row r="85" spans="2:7" x14ac:dyDescent="0.35">
      <c r="B85" s="61" t="s">
        <v>243</v>
      </c>
      <c r="D85" s="122">
        <f>+E85</f>
        <v>33505480</v>
      </c>
      <c r="E85" s="64">
        <f>790*42412</f>
        <v>33505480</v>
      </c>
      <c r="G85" s="65">
        <f>+D82-D84-D89</f>
        <v>68980128</v>
      </c>
    </row>
    <row r="86" spans="2:7" x14ac:dyDescent="0.35">
      <c r="B86" s="93" t="s">
        <v>241</v>
      </c>
      <c r="C86" s="93"/>
      <c r="D86" s="98">
        <f>+D84+D85</f>
        <v>49791688</v>
      </c>
      <c r="G86" s="64">
        <f>+G85*25%</f>
        <v>17245032</v>
      </c>
    </row>
    <row r="87" spans="2:7" x14ac:dyDescent="0.35">
      <c r="B87" s="93" t="s">
        <v>242</v>
      </c>
      <c r="C87" s="93"/>
      <c r="D87" s="98">
        <f>+D82*40%</f>
        <v>35328000</v>
      </c>
      <c r="E87" s="98">
        <f>1340*42412</f>
        <v>56832080</v>
      </c>
    </row>
    <row r="88" spans="2:7" x14ac:dyDescent="0.35">
      <c r="B88" s="93"/>
      <c r="C88" s="93"/>
      <c r="D88" s="98"/>
      <c r="E88" s="98"/>
    </row>
    <row r="89" spans="2:7" x14ac:dyDescent="0.35">
      <c r="B89" s="93" t="s">
        <v>313</v>
      </c>
      <c r="C89" s="93"/>
      <c r="D89" s="123">
        <f>((72*42412)*1)</f>
        <v>3053664</v>
      </c>
      <c r="E89" s="98"/>
    </row>
    <row r="90" spans="2:7" x14ac:dyDescent="0.35">
      <c r="D90" s="64"/>
      <c r="E90" s="61" t="s">
        <v>308</v>
      </c>
    </row>
    <row r="91" spans="2:7" x14ac:dyDescent="0.35">
      <c r="B91" s="93" t="s">
        <v>246</v>
      </c>
      <c r="C91" s="93"/>
      <c r="D91" s="98">
        <f>+D82-D86-D89</f>
        <v>35474648</v>
      </c>
      <c r="E91" s="61" t="s">
        <v>309</v>
      </c>
    </row>
    <row r="92" spans="2:7" x14ac:dyDescent="0.35">
      <c r="D92" s="64"/>
      <c r="E92" s="61" t="s">
        <v>310</v>
      </c>
    </row>
    <row r="94" spans="2:7" ht="100.5" customHeight="1" x14ac:dyDescent="0.35">
      <c r="B94" s="180" t="s">
        <v>312</v>
      </c>
      <c r="C94" s="180"/>
      <c r="D94" s="180"/>
      <c r="E94" s="180"/>
    </row>
  </sheetData>
  <mergeCells count="30">
    <mergeCell ref="J69:M69"/>
    <mergeCell ref="B94:E94"/>
    <mergeCell ref="I41:I42"/>
    <mergeCell ref="K41:K42"/>
    <mergeCell ref="L41:L42"/>
    <mergeCell ref="I43:I44"/>
    <mergeCell ref="K43:K44"/>
    <mergeCell ref="L43:L44"/>
    <mergeCell ref="I37:I38"/>
    <mergeCell ref="K37:K38"/>
    <mergeCell ref="L37:L38"/>
    <mergeCell ref="I39:I40"/>
    <mergeCell ref="K39:K40"/>
    <mergeCell ref="L39:L40"/>
    <mergeCell ref="K19:M19"/>
    <mergeCell ref="B38:C38"/>
    <mergeCell ref="D38:D39"/>
    <mergeCell ref="E38:E39"/>
    <mergeCell ref="B40:B41"/>
    <mergeCell ref="D40:D41"/>
    <mergeCell ref="E40:E41"/>
    <mergeCell ref="I31:J31"/>
    <mergeCell ref="K31:K32"/>
    <mergeCell ref="L31:L32"/>
    <mergeCell ref="I33:I34"/>
    <mergeCell ref="K33:K34"/>
    <mergeCell ref="L33:L34"/>
    <mergeCell ref="I35:I36"/>
    <mergeCell ref="K35:K36"/>
    <mergeCell ref="L35:L36"/>
  </mergeCells>
  <hyperlinks>
    <hyperlink ref="E42" location="UVTNorma313" display="UVTNorma313" xr:uid="{5E127045-1A62-464B-B3D5-54173598B9DA}"/>
    <hyperlink ref="L35" location="UVTNorma312" display="UVTNorma312" xr:uid="{2B14D785-5269-437E-BDE7-7D9DD81262F1}"/>
  </hyperlinks>
  <pageMargins left="0.7" right="0.7" top="0.75" bottom="0.75" header="0.3" footer="0.3"/>
  <pageSetup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2057-E21B-4A80-A840-7FEFC3995203}">
  <dimension ref="C3:H10"/>
  <sheetViews>
    <sheetView workbookViewId="0">
      <selection activeCell="H10" sqref="H10"/>
    </sheetView>
  </sheetViews>
  <sheetFormatPr baseColWidth="10" defaultRowHeight="14.5" x14ac:dyDescent="0.35"/>
  <cols>
    <col min="8" max="8" width="16.1796875" bestFit="1" customWidth="1"/>
  </cols>
  <sheetData>
    <row r="3" spans="3:8" x14ac:dyDescent="0.35">
      <c r="C3" s="87" t="s">
        <v>168</v>
      </c>
      <c r="G3" s="58">
        <v>0.3</v>
      </c>
      <c r="H3" t="s">
        <v>169</v>
      </c>
    </row>
    <row r="4" spans="3:8" x14ac:dyDescent="0.35">
      <c r="H4" s="6">
        <v>150000000</v>
      </c>
    </row>
    <row r="6" spans="3:8" x14ac:dyDescent="0.35">
      <c r="H6" s="6">
        <f>+H4*G3</f>
        <v>45000000</v>
      </c>
    </row>
    <row r="10" spans="3:8" x14ac:dyDescent="0.35">
      <c r="C10" t="s">
        <v>170</v>
      </c>
      <c r="G10" t="s">
        <v>171</v>
      </c>
      <c r="H10" s="88">
        <v>60000000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5F35-36C5-4859-B418-04C5C45B36C4}">
  <dimension ref="C2:G1048576"/>
  <sheetViews>
    <sheetView topLeftCell="A10" workbookViewId="0">
      <selection activeCell="E24" sqref="E24"/>
    </sheetView>
  </sheetViews>
  <sheetFormatPr baseColWidth="10" defaultRowHeight="14.5" x14ac:dyDescent="0.35"/>
  <cols>
    <col min="3" max="3" width="21.7265625" customWidth="1"/>
    <col min="4" max="4" width="19" customWidth="1"/>
    <col min="5" max="5" width="21.453125" customWidth="1"/>
    <col min="6" max="6" width="17.7265625" bestFit="1" customWidth="1"/>
    <col min="7" max="7" width="16.1796875" bestFit="1" customWidth="1"/>
  </cols>
  <sheetData>
    <row r="2" spans="3:6" x14ac:dyDescent="0.35">
      <c r="E2" s="6"/>
    </row>
    <row r="3" spans="3:6" x14ac:dyDescent="0.35">
      <c r="C3" s="3" t="s">
        <v>125</v>
      </c>
      <c r="E3">
        <v>2023</v>
      </c>
    </row>
    <row r="4" spans="3:6" x14ac:dyDescent="0.35">
      <c r="C4" t="s">
        <v>126</v>
      </c>
      <c r="D4" s="79">
        <v>72000</v>
      </c>
      <c r="E4" s="73">
        <v>42412</v>
      </c>
      <c r="F4" s="73">
        <f>+D4*E4</f>
        <v>3053664000</v>
      </c>
    </row>
    <row r="6" spans="3:6" x14ac:dyDescent="0.35">
      <c r="C6" s="3" t="s">
        <v>127</v>
      </c>
    </row>
    <row r="7" spans="3:6" x14ac:dyDescent="0.35">
      <c r="C7" t="s">
        <v>126</v>
      </c>
      <c r="F7" s="5">
        <f>+F4</f>
        <v>3053664000</v>
      </c>
    </row>
    <row r="9" spans="3:6" x14ac:dyDescent="0.35">
      <c r="C9" t="s">
        <v>128</v>
      </c>
      <c r="D9" s="72">
        <v>12000</v>
      </c>
      <c r="E9" s="5">
        <f>+E4</f>
        <v>42412</v>
      </c>
      <c r="F9" s="5">
        <f>+D9*E9</f>
        <v>508944000</v>
      </c>
    </row>
    <row r="10" spans="3:6" x14ac:dyDescent="0.35">
      <c r="D10" s="90">
        <f>+D4-D9</f>
        <v>60000</v>
      </c>
    </row>
    <row r="11" spans="3:6" x14ac:dyDescent="0.35">
      <c r="C11" s="206" t="s">
        <v>129</v>
      </c>
      <c r="D11" s="206"/>
      <c r="E11" s="206"/>
      <c r="F11" s="206"/>
    </row>
    <row r="12" spans="3:6" x14ac:dyDescent="0.35">
      <c r="C12" s="206"/>
      <c r="D12" s="206"/>
      <c r="E12" s="206"/>
      <c r="F12" s="206"/>
    </row>
    <row r="13" spans="3:6" x14ac:dyDescent="0.35">
      <c r="C13" s="206"/>
      <c r="D13" s="206"/>
      <c r="E13" s="206"/>
      <c r="F13" s="206"/>
    </row>
    <row r="14" spans="3:6" x14ac:dyDescent="0.35">
      <c r="C14" s="206"/>
      <c r="D14" s="206"/>
      <c r="E14" s="206"/>
      <c r="F14" s="206"/>
    </row>
    <row r="15" spans="3:6" x14ac:dyDescent="0.35">
      <c r="C15" s="206"/>
      <c r="D15" s="206"/>
      <c r="E15" s="206"/>
      <c r="F15" s="206"/>
    </row>
    <row r="16" spans="3:6" x14ac:dyDescent="0.35">
      <c r="C16" s="206"/>
      <c r="D16" s="206"/>
      <c r="E16" s="206"/>
      <c r="F16" s="206"/>
    </row>
    <row r="17" spans="3:7" x14ac:dyDescent="0.35">
      <c r="C17" s="70"/>
      <c r="D17" s="70"/>
      <c r="E17" s="70"/>
      <c r="F17" s="70"/>
    </row>
    <row r="18" spans="3:7" x14ac:dyDescent="0.35">
      <c r="C18" t="s">
        <v>131</v>
      </c>
      <c r="E18" s="5">
        <v>508944000</v>
      </c>
      <c r="F18" t="s">
        <v>192</v>
      </c>
    </row>
    <row r="19" spans="3:7" x14ac:dyDescent="0.35">
      <c r="C19" t="s">
        <v>130</v>
      </c>
      <c r="E19" s="73">
        <f>+E18*E21</f>
        <v>222020567.25942856</v>
      </c>
    </row>
    <row r="21" spans="3:7" x14ac:dyDescent="0.35">
      <c r="C21" t="s">
        <v>126</v>
      </c>
      <c r="D21" s="5">
        <f>+F4</f>
        <v>3053664000</v>
      </c>
      <c r="E21" s="208">
        <f>+D21/D22</f>
        <v>0.43623771428571428</v>
      </c>
    </row>
    <row r="22" spans="3:7" x14ac:dyDescent="0.35">
      <c r="C22" t="s">
        <v>132</v>
      </c>
      <c r="D22" s="6">
        <v>7000000000</v>
      </c>
      <c r="E22" s="208"/>
    </row>
    <row r="23" spans="3:7" x14ac:dyDescent="0.35">
      <c r="G23" s="6">
        <f>5000*42412</f>
        <v>212060000</v>
      </c>
    </row>
    <row r="24" spans="3:7" x14ac:dyDescent="0.35">
      <c r="E24" s="6">
        <f>12000*42412</f>
        <v>508944000</v>
      </c>
    </row>
    <row r="25" spans="3:7" x14ac:dyDescent="0.35">
      <c r="E25" s="6">
        <f>100000*42412</f>
        <v>4241200000</v>
      </c>
    </row>
    <row r="35" spans="3:4" x14ac:dyDescent="0.35">
      <c r="C35" t="s">
        <v>153</v>
      </c>
    </row>
    <row r="37" spans="3:4" x14ac:dyDescent="0.35">
      <c r="C37" t="s">
        <v>125</v>
      </c>
      <c r="D37" t="s">
        <v>154</v>
      </c>
    </row>
    <row r="39" spans="3:4" x14ac:dyDescent="0.35">
      <c r="D39" s="5">
        <f>+F4</f>
        <v>3053664000</v>
      </c>
    </row>
    <row r="41" spans="3:4" x14ac:dyDescent="0.35">
      <c r="D41" t="s">
        <v>155</v>
      </c>
    </row>
    <row r="46" spans="3:4" x14ac:dyDescent="0.35">
      <c r="C46" t="s">
        <v>156</v>
      </c>
    </row>
    <row r="48" spans="3:4" x14ac:dyDescent="0.35">
      <c r="C48" t="s">
        <v>157</v>
      </c>
    </row>
    <row r="49" spans="3:4" x14ac:dyDescent="0.35">
      <c r="C49" t="s">
        <v>158</v>
      </c>
      <c r="D49" t="s">
        <v>159</v>
      </c>
    </row>
    <row r="53" spans="3:4" x14ac:dyDescent="0.35">
      <c r="C53" t="s">
        <v>160</v>
      </c>
    </row>
    <row r="55" spans="3:4" x14ac:dyDescent="0.35">
      <c r="C55" t="s">
        <v>161</v>
      </c>
    </row>
    <row r="83" spans="3:3" x14ac:dyDescent="0.35">
      <c r="C83" t="s">
        <v>172</v>
      </c>
    </row>
    <row r="85" spans="3:3" x14ac:dyDescent="0.35">
      <c r="C85" t="s">
        <v>173</v>
      </c>
    </row>
    <row r="87" spans="3:3" x14ac:dyDescent="0.35">
      <c r="C87" t="s">
        <v>174</v>
      </c>
    </row>
    <row r="92" spans="3:3" x14ac:dyDescent="0.35">
      <c r="C92" t="s">
        <v>175</v>
      </c>
    </row>
    <row r="93" spans="3:3" x14ac:dyDescent="0.35">
      <c r="C93" t="s">
        <v>175</v>
      </c>
    </row>
    <row r="94" spans="3:3" x14ac:dyDescent="0.35">
      <c r="C94" t="s">
        <v>175</v>
      </c>
    </row>
    <row r="95" spans="3:3" x14ac:dyDescent="0.35">
      <c r="C95" t="s">
        <v>175</v>
      </c>
    </row>
    <row r="96" spans="3:3" x14ac:dyDescent="0.35">
      <c r="C96" t="s">
        <v>175</v>
      </c>
    </row>
    <row r="97" spans="3:6" x14ac:dyDescent="0.35">
      <c r="C97" t="s">
        <v>175</v>
      </c>
    </row>
    <row r="98" spans="3:6" x14ac:dyDescent="0.35">
      <c r="C98" t="s">
        <v>175</v>
      </c>
    </row>
    <row r="99" spans="3:6" x14ac:dyDescent="0.35">
      <c r="C99" t="s">
        <v>175</v>
      </c>
    </row>
    <row r="100" spans="3:6" x14ac:dyDescent="0.35">
      <c r="C100" t="s">
        <v>175</v>
      </c>
    </row>
    <row r="101" spans="3:6" x14ac:dyDescent="0.35">
      <c r="C101" t="s">
        <v>175</v>
      </c>
    </row>
    <row r="102" spans="3:6" x14ac:dyDescent="0.35">
      <c r="C102" t="s">
        <v>175</v>
      </c>
    </row>
    <row r="103" spans="3:6" x14ac:dyDescent="0.35">
      <c r="C103" t="s">
        <v>175</v>
      </c>
    </row>
    <row r="104" spans="3:6" x14ac:dyDescent="0.35">
      <c r="C104" t="s">
        <v>175</v>
      </c>
    </row>
    <row r="105" spans="3:6" x14ac:dyDescent="0.35">
      <c r="C105" t="s">
        <v>175</v>
      </c>
    </row>
    <row r="106" spans="3:6" x14ac:dyDescent="0.35">
      <c r="C106" t="s">
        <v>175</v>
      </c>
    </row>
    <row r="107" spans="3:6" x14ac:dyDescent="0.35">
      <c r="C107" t="s">
        <v>175</v>
      </c>
    </row>
    <row r="110" spans="3:6" x14ac:dyDescent="0.35">
      <c r="C110" t="s">
        <v>176</v>
      </c>
    </row>
    <row r="112" spans="3:6" x14ac:dyDescent="0.35">
      <c r="C112" t="s">
        <v>177</v>
      </c>
      <c r="D112" s="6">
        <v>72000</v>
      </c>
      <c r="E112" s="6">
        <v>42412</v>
      </c>
      <c r="F112" s="6">
        <f>+D112*E112</f>
        <v>3053664000</v>
      </c>
    </row>
    <row r="114" spans="3:5" x14ac:dyDescent="0.35">
      <c r="C114" t="s">
        <v>178</v>
      </c>
      <c r="D114" t="s">
        <v>180</v>
      </c>
    </row>
    <row r="115" spans="3:5" x14ac:dyDescent="0.35">
      <c r="C115" t="s">
        <v>179</v>
      </c>
      <c r="D115" t="s">
        <v>180</v>
      </c>
    </row>
    <row r="117" spans="3:5" x14ac:dyDescent="0.35">
      <c r="C117" t="s">
        <v>181</v>
      </c>
    </row>
    <row r="118" spans="3:5" x14ac:dyDescent="0.35">
      <c r="D118" s="8" t="s">
        <v>162</v>
      </c>
    </row>
    <row r="119" spans="3:5" ht="21" x14ac:dyDescent="0.5">
      <c r="C119" t="s">
        <v>182</v>
      </c>
      <c r="D119" s="6">
        <v>70000</v>
      </c>
      <c r="E119" s="89">
        <f>+D119*5.32</f>
        <v>372400</v>
      </c>
    </row>
    <row r="120" spans="3:5" x14ac:dyDescent="0.35">
      <c r="C120" t="s">
        <v>179</v>
      </c>
    </row>
    <row r="124" spans="3:5" x14ac:dyDescent="0.35">
      <c r="C124" s="57" t="s">
        <v>184</v>
      </c>
    </row>
    <row r="126" spans="3:5" x14ac:dyDescent="0.35">
      <c r="C126" t="s">
        <v>183</v>
      </c>
      <c r="D126" s="72">
        <v>80000</v>
      </c>
    </row>
    <row r="129" spans="3:5" x14ac:dyDescent="0.35">
      <c r="C129" s="57"/>
    </row>
    <row r="130" spans="3:5" x14ac:dyDescent="0.35">
      <c r="C130" s="57" t="s">
        <v>185</v>
      </c>
      <c r="D130" t="s">
        <v>186</v>
      </c>
      <c r="E130" t="s">
        <v>190</v>
      </c>
    </row>
    <row r="132" spans="3:5" x14ac:dyDescent="0.35">
      <c r="D132" s="75" t="s">
        <v>187</v>
      </c>
    </row>
    <row r="133" spans="3:5" x14ac:dyDescent="0.35">
      <c r="D133" s="75" t="s">
        <v>188</v>
      </c>
    </row>
    <row r="136" spans="3:5" x14ac:dyDescent="0.35">
      <c r="D136" s="57" t="s">
        <v>189</v>
      </c>
    </row>
    <row r="137" spans="3:5" x14ac:dyDescent="0.35">
      <c r="D137" s="75"/>
    </row>
    <row r="138" spans="3:5" x14ac:dyDescent="0.35">
      <c r="D138" s="75"/>
    </row>
    <row r="139" spans="3:5" x14ac:dyDescent="0.35">
      <c r="D139" s="75"/>
    </row>
    <row r="144" spans="3:5" x14ac:dyDescent="0.35">
      <c r="C144" t="s">
        <v>191</v>
      </c>
    </row>
    <row r="145" spans="3:3" x14ac:dyDescent="0.35">
      <c r="C145" t="s">
        <v>191</v>
      </c>
    </row>
    <row r="146" spans="3:3" x14ac:dyDescent="0.35">
      <c r="C146" t="s">
        <v>191</v>
      </c>
    </row>
    <row r="147" spans="3:3" x14ac:dyDescent="0.35">
      <c r="C147" t="s">
        <v>191</v>
      </c>
    </row>
    <row r="148" spans="3:3" x14ac:dyDescent="0.35">
      <c r="C148" t="s">
        <v>191</v>
      </c>
    </row>
    <row r="149" spans="3:3" x14ac:dyDescent="0.35">
      <c r="C149" t="s">
        <v>191</v>
      </c>
    </row>
    <row r="150" spans="3:3" x14ac:dyDescent="0.35">
      <c r="C150" t="s">
        <v>191</v>
      </c>
    </row>
    <row r="151" spans="3:3" x14ac:dyDescent="0.35">
      <c r="C151" t="s">
        <v>191</v>
      </c>
    </row>
    <row r="152" spans="3:3" x14ac:dyDescent="0.35">
      <c r="C152" t="s">
        <v>191</v>
      </c>
    </row>
    <row r="153" spans="3:3" x14ac:dyDescent="0.35">
      <c r="C153" t="s">
        <v>191</v>
      </c>
    </row>
    <row r="154" spans="3:3" x14ac:dyDescent="0.35">
      <c r="C154" t="s">
        <v>191</v>
      </c>
    </row>
    <row r="155" spans="3:3" x14ac:dyDescent="0.35">
      <c r="C155" t="s">
        <v>191</v>
      </c>
    </row>
    <row r="156" spans="3:3" x14ac:dyDescent="0.35">
      <c r="C156" t="s">
        <v>191</v>
      </c>
    </row>
    <row r="157" spans="3:3" x14ac:dyDescent="0.35">
      <c r="C157" t="s">
        <v>191</v>
      </c>
    </row>
    <row r="158" spans="3:3" x14ac:dyDescent="0.35">
      <c r="C158" t="s">
        <v>191</v>
      </c>
    </row>
    <row r="159" spans="3:3" x14ac:dyDescent="0.35">
      <c r="C159" t="s">
        <v>191</v>
      </c>
    </row>
    <row r="160" spans="3:3" x14ac:dyDescent="0.35">
      <c r="C160" t="s">
        <v>191</v>
      </c>
    </row>
    <row r="161" spans="3:3" x14ac:dyDescent="0.35">
      <c r="C161" t="s">
        <v>191</v>
      </c>
    </row>
    <row r="162" spans="3:3" x14ac:dyDescent="0.35">
      <c r="C162" t="s">
        <v>191</v>
      </c>
    </row>
    <row r="163" spans="3:3" x14ac:dyDescent="0.35">
      <c r="C163" t="s">
        <v>191</v>
      </c>
    </row>
    <row r="164" spans="3:3" x14ac:dyDescent="0.35">
      <c r="C164" t="s">
        <v>191</v>
      </c>
    </row>
    <row r="165" spans="3:3" x14ac:dyDescent="0.35">
      <c r="C165" t="s">
        <v>191</v>
      </c>
    </row>
    <row r="166" spans="3:3" x14ac:dyDescent="0.35">
      <c r="C166" t="s">
        <v>191</v>
      </c>
    </row>
    <row r="167" spans="3:3" x14ac:dyDescent="0.35">
      <c r="C167" t="s">
        <v>191</v>
      </c>
    </row>
    <row r="168" spans="3:3" x14ac:dyDescent="0.35">
      <c r="C168" t="s">
        <v>191</v>
      </c>
    </row>
    <row r="169" spans="3:3" x14ac:dyDescent="0.35">
      <c r="C169" t="s">
        <v>191</v>
      </c>
    </row>
    <row r="170" spans="3:3" x14ac:dyDescent="0.35">
      <c r="C170" t="s">
        <v>191</v>
      </c>
    </row>
    <row r="171" spans="3:3" x14ac:dyDescent="0.35">
      <c r="C171" t="s">
        <v>191</v>
      </c>
    </row>
    <row r="172" spans="3:3" x14ac:dyDescent="0.35">
      <c r="C172" t="s">
        <v>191</v>
      </c>
    </row>
    <row r="173" spans="3:3" x14ac:dyDescent="0.35">
      <c r="C173" t="s">
        <v>191</v>
      </c>
    </row>
    <row r="174" spans="3:3" x14ac:dyDescent="0.35">
      <c r="C174" t="s">
        <v>191</v>
      </c>
    </row>
    <row r="1048576" spans="3:3" x14ac:dyDescent="0.35">
      <c r="C1048576" t="s">
        <v>191</v>
      </c>
    </row>
  </sheetData>
  <mergeCells count="2">
    <mergeCell ref="C11:F16"/>
    <mergeCell ref="E21:E2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9BEBA-267B-41B9-AA3F-832F2692DCD3}">
  <dimension ref="C2:J27"/>
  <sheetViews>
    <sheetView workbookViewId="0">
      <selection activeCell="G20" sqref="A14:I20"/>
    </sheetView>
  </sheetViews>
  <sheetFormatPr baseColWidth="10" defaultRowHeight="14.5" x14ac:dyDescent="0.35"/>
  <cols>
    <col min="6" max="6" width="17.7265625" bestFit="1" customWidth="1"/>
    <col min="8" max="8" width="16.1796875" bestFit="1" customWidth="1"/>
    <col min="10" max="10" width="16.1796875" bestFit="1" customWidth="1"/>
  </cols>
  <sheetData>
    <row r="2" spans="3:10" x14ac:dyDescent="0.35">
      <c r="C2" s="207" t="s">
        <v>136</v>
      </c>
      <c r="D2" s="207"/>
      <c r="E2" s="207"/>
      <c r="F2" s="207"/>
      <c r="G2" s="207"/>
    </row>
    <row r="4" spans="3:10" x14ac:dyDescent="0.35">
      <c r="C4" t="s">
        <v>137</v>
      </c>
    </row>
    <row r="6" spans="3:10" x14ac:dyDescent="0.35">
      <c r="C6" t="s">
        <v>138</v>
      </c>
      <c r="D6" t="s">
        <v>147</v>
      </c>
    </row>
    <row r="7" spans="3:10" x14ac:dyDescent="0.35">
      <c r="H7" t="s">
        <v>145</v>
      </c>
      <c r="J7" t="s">
        <v>146</v>
      </c>
    </row>
    <row r="8" spans="3:10" x14ac:dyDescent="0.35">
      <c r="D8" t="s">
        <v>139</v>
      </c>
      <c r="F8" s="75" t="s">
        <v>140</v>
      </c>
      <c r="H8" s="74">
        <v>900000000</v>
      </c>
      <c r="J8" s="76">
        <f>+H8</f>
        <v>900000000</v>
      </c>
    </row>
    <row r="9" spans="3:10" x14ac:dyDescent="0.35">
      <c r="F9" s="77" t="s">
        <v>141</v>
      </c>
    </row>
    <row r="10" spans="3:10" x14ac:dyDescent="0.35">
      <c r="H10" s="6">
        <f>7700*42000</f>
        <v>323400000</v>
      </c>
      <c r="J10" s="6">
        <f>13000*42000</f>
        <v>546000000</v>
      </c>
    </row>
    <row r="11" spans="3:10" x14ac:dyDescent="0.35">
      <c r="D11" s="75" t="s">
        <v>142</v>
      </c>
      <c r="H11" s="6">
        <f>+H8-H10</f>
        <v>576600000</v>
      </c>
      <c r="J11" s="6">
        <f>+J8-J10</f>
        <v>354000000</v>
      </c>
    </row>
    <row r="12" spans="3:10" x14ac:dyDescent="0.35">
      <c r="D12" s="77" t="s">
        <v>143</v>
      </c>
    </row>
    <row r="13" spans="3:10" x14ac:dyDescent="0.35">
      <c r="D13" t="s">
        <v>144</v>
      </c>
      <c r="F13" s="1">
        <v>1200000000</v>
      </c>
    </row>
    <row r="15" spans="3:10" x14ac:dyDescent="0.35">
      <c r="F15" s="1">
        <f>6500*42000</f>
        <v>273000000</v>
      </c>
    </row>
    <row r="16" spans="3:10" x14ac:dyDescent="0.35">
      <c r="F16" s="2">
        <f>+F13-F15</f>
        <v>927000000</v>
      </c>
    </row>
    <row r="19" spans="4:9" x14ac:dyDescent="0.35">
      <c r="D19" s="212"/>
      <c r="E19" s="212"/>
      <c r="F19" s="212"/>
      <c r="G19" s="212"/>
      <c r="H19" s="212"/>
      <c r="I19" s="212"/>
    </row>
    <row r="21" spans="4:9" x14ac:dyDescent="0.35">
      <c r="D21" t="s">
        <v>148</v>
      </c>
    </row>
    <row r="23" spans="4:9" x14ac:dyDescent="0.35">
      <c r="D23" t="s">
        <v>149</v>
      </c>
      <c r="F23" s="6">
        <v>250000000</v>
      </c>
      <c r="G23" t="s">
        <v>152</v>
      </c>
    </row>
    <row r="24" spans="4:9" x14ac:dyDescent="0.35">
      <c r="D24" t="s">
        <v>150</v>
      </c>
      <c r="F24" s="78">
        <v>150000000</v>
      </c>
    </row>
    <row r="26" spans="4:9" x14ac:dyDescent="0.35">
      <c r="D26" t="s">
        <v>151</v>
      </c>
      <c r="F26" s="6">
        <f>7500*42000</f>
        <v>315000000</v>
      </c>
    </row>
    <row r="27" spans="4:9" x14ac:dyDescent="0.35">
      <c r="D27" t="s">
        <v>146</v>
      </c>
      <c r="F27" s="6">
        <f>5000*42000</f>
        <v>210000000</v>
      </c>
    </row>
  </sheetData>
  <mergeCells count="2">
    <mergeCell ref="C2:G2"/>
    <mergeCell ref="D19:I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2FED5-DF96-4B57-846D-8E4090021BF4}">
  <dimension ref="B3:I57"/>
  <sheetViews>
    <sheetView topLeftCell="A43" workbookViewId="0">
      <selection activeCell="E52" sqref="D52:E52"/>
    </sheetView>
  </sheetViews>
  <sheetFormatPr baseColWidth="10" defaultRowHeight="14.5" x14ac:dyDescent="0.35"/>
  <cols>
    <col min="3" max="3" width="17.81640625" bestFit="1" customWidth="1"/>
    <col min="4" max="4" width="11" bestFit="1" customWidth="1"/>
    <col min="5" max="5" width="14.1796875" bestFit="1" customWidth="1"/>
    <col min="6" max="6" width="23.54296875" customWidth="1"/>
    <col min="7" max="7" width="12.54296875" bestFit="1" customWidth="1"/>
    <col min="9" max="9" width="15.08984375" bestFit="1" customWidth="1"/>
  </cols>
  <sheetData>
    <row r="3" spans="2:8" x14ac:dyDescent="0.35">
      <c r="B3">
        <v>651</v>
      </c>
      <c r="C3" t="s">
        <v>193</v>
      </c>
    </row>
    <row r="5" spans="2:8" x14ac:dyDescent="0.35">
      <c r="C5" s="6">
        <f>15000*42412</f>
        <v>636180000</v>
      </c>
    </row>
    <row r="6" spans="2:8" x14ac:dyDescent="0.35">
      <c r="B6" t="s">
        <v>194</v>
      </c>
      <c r="C6" s="73">
        <f>+C5/2</f>
        <v>318090000</v>
      </c>
    </row>
    <row r="8" spans="2:8" x14ac:dyDescent="0.35">
      <c r="F8" t="s">
        <v>200</v>
      </c>
    </row>
    <row r="9" spans="2:8" x14ac:dyDescent="0.35">
      <c r="C9" t="s">
        <v>195</v>
      </c>
      <c r="D9" t="s">
        <v>196</v>
      </c>
      <c r="E9" t="s">
        <v>197</v>
      </c>
      <c r="F9" t="s">
        <v>198</v>
      </c>
      <c r="G9" t="s">
        <v>201</v>
      </c>
    </row>
    <row r="10" spans="2:8" x14ac:dyDescent="0.35">
      <c r="C10" s="6">
        <v>1000000000</v>
      </c>
      <c r="D10" s="92">
        <v>5.0000000000000001E-3</v>
      </c>
      <c r="E10" s="6">
        <f>+C10*D10</f>
        <v>5000000</v>
      </c>
      <c r="F10" s="6">
        <f>+E10*5%</f>
        <v>250000</v>
      </c>
      <c r="G10" s="6">
        <f>+E10*10%</f>
        <v>500000</v>
      </c>
      <c r="H10" s="6"/>
    </row>
    <row r="11" spans="2:8" x14ac:dyDescent="0.35">
      <c r="F11" t="s">
        <v>199</v>
      </c>
    </row>
    <row r="18" spans="3:9" x14ac:dyDescent="0.35">
      <c r="C18" t="s">
        <v>202</v>
      </c>
    </row>
    <row r="20" spans="3:9" x14ac:dyDescent="0.35">
      <c r="C20" t="s">
        <v>204</v>
      </c>
    </row>
    <row r="21" spans="3:9" hidden="1" x14ac:dyDescent="0.35">
      <c r="C21" s="57" t="s">
        <v>203</v>
      </c>
      <c r="D21" s="57"/>
      <c r="E21" s="57"/>
      <c r="F21" s="57"/>
      <c r="G21" s="57"/>
      <c r="H21" s="57"/>
      <c r="I21" s="57"/>
    </row>
    <row r="22" spans="3:9" x14ac:dyDescent="0.35">
      <c r="C22" t="s">
        <v>205</v>
      </c>
    </row>
    <row r="25" spans="3:9" x14ac:dyDescent="0.35">
      <c r="C25" t="s">
        <v>206</v>
      </c>
      <c r="E25" t="s">
        <v>207</v>
      </c>
    </row>
    <row r="33" spans="3:9" x14ac:dyDescent="0.35">
      <c r="C33" t="s">
        <v>208</v>
      </c>
    </row>
    <row r="35" spans="3:9" x14ac:dyDescent="0.35">
      <c r="C35" t="s">
        <v>211</v>
      </c>
      <c r="I35" s="6">
        <v>5000000</v>
      </c>
    </row>
    <row r="36" spans="3:9" x14ac:dyDescent="0.35">
      <c r="C36" t="s">
        <v>209</v>
      </c>
      <c r="I36" s="6">
        <f>+I35*50%</f>
        <v>2500000</v>
      </c>
    </row>
    <row r="37" spans="3:9" x14ac:dyDescent="0.35">
      <c r="C37" t="s">
        <v>210</v>
      </c>
      <c r="I37" s="6">
        <f>+I36*40%</f>
        <v>1000000</v>
      </c>
    </row>
    <row r="43" spans="3:9" x14ac:dyDescent="0.35">
      <c r="E43" t="s">
        <v>214</v>
      </c>
      <c r="F43" t="s">
        <v>215</v>
      </c>
    </row>
    <row r="45" spans="3:9" x14ac:dyDescent="0.35">
      <c r="E45" t="s">
        <v>213</v>
      </c>
      <c r="F45" s="57" t="s">
        <v>216</v>
      </c>
    </row>
    <row r="47" spans="3:9" x14ac:dyDescent="0.35">
      <c r="E47" s="57" t="s">
        <v>217</v>
      </c>
    </row>
    <row r="49" spans="4:7" x14ac:dyDescent="0.35">
      <c r="E49" t="s">
        <v>212</v>
      </c>
    </row>
    <row r="51" spans="4:7" x14ac:dyDescent="0.35">
      <c r="G51" s="57" t="s">
        <v>220</v>
      </c>
    </row>
    <row r="52" spans="4:7" x14ac:dyDescent="0.35">
      <c r="D52" t="s">
        <v>218</v>
      </c>
      <c r="F52" t="s">
        <v>219</v>
      </c>
    </row>
    <row r="54" spans="4:7" x14ac:dyDescent="0.35">
      <c r="F54" s="212" t="s">
        <v>223</v>
      </c>
      <c r="G54" s="57" t="s">
        <v>221</v>
      </c>
    </row>
    <row r="55" spans="4:7" x14ac:dyDescent="0.35">
      <c r="F55" s="212"/>
    </row>
    <row r="56" spans="4:7" x14ac:dyDescent="0.35">
      <c r="F56" s="212"/>
      <c r="G56" s="57" t="s">
        <v>222</v>
      </c>
    </row>
    <row r="57" spans="4:7" x14ac:dyDescent="0.35">
      <c r="F57" s="212"/>
    </row>
  </sheetData>
  <mergeCells count="1">
    <mergeCell ref="F54:F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D98FD-0792-4951-97E5-179A95CF2E10}">
  <dimension ref="B2:H82"/>
  <sheetViews>
    <sheetView topLeftCell="A72" workbookViewId="0">
      <selection activeCell="A81" sqref="A81"/>
    </sheetView>
  </sheetViews>
  <sheetFormatPr baseColWidth="10" defaultRowHeight="14.5" x14ac:dyDescent="0.35"/>
  <cols>
    <col min="5" max="5" width="13.1796875" customWidth="1"/>
    <col min="6" max="6" width="13.1796875" style="6" customWidth="1"/>
  </cols>
  <sheetData>
    <row r="2" spans="2:8" x14ac:dyDescent="0.35">
      <c r="B2" s="1" t="s">
        <v>314</v>
      </c>
    </row>
    <row r="3" spans="2:8" x14ac:dyDescent="0.35">
      <c r="C3" t="s">
        <v>323</v>
      </c>
      <c r="F3" s="6">
        <v>380000000</v>
      </c>
      <c r="H3" t="s">
        <v>324</v>
      </c>
    </row>
    <row r="4" spans="2:8" x14ac:dyDescent="0.35">
      <c r="C4" t="s">
        <v>315</v>
      </c>
      <c r="F4" s="6">
        <v>20000000</v>
      </c>
    </row>
    <row r="5" spans="2:8" x14ac:dyDescent="0.35">
      <c r="C5" t="s">
        <v>316</v>
      </c>
      <c r="F5" s="6">
        <v>189000000</v>
      </c>
    </row>
    <row r="6" spans="2:8" x14ac:dyDescent="0.35">
      <c r="C6" t="s">
        <v>317</v>
      </c>
      <c r="F6" s="6">
        <v>3000000</v>
      </c>
    </row>
    <row r="7" spans="2:8" x14ac:dyDescent="0.35">
      <c r="C7" t="s">
        <v>318</v>
      </c>
      <c r="F7" s="6">
        <v>1500000</v>
      </c>
    </row>
    <row r="8" spans="2:8" x14ac:dyDescent="0.35">
      <c r="C8" t="s">
        <v>319</v>
      </c>
      <c r="F8" s="6">
        <v>8000000</v>
      </c>
    </row>
    <row r="9" spans="2:8" x14ac:dyDescent="0.35">
      <c r="C9" s="3" t="s">
        <v>320</v>
      </c>
      <c r="D9" s="3"/>
      <c r="E9" s="3"/>
      <c r="F9" s="7">
        <f>+F4+F5+F6+F7+F8+F3</f>
        <v>601500000</v>
      </c>
    </row>
    <row r="10" spans="2:8" x14ac:dyDescent="0.35">
      <c r="E10" t="s">
        <v>321</v>
      </c>
      <c r="F10" s="6">
        <f>+F9*1%</f>
        <v>6015000</v>
      </c>
    </row>
    <row r="11" spans="2:8" x14ac:dyDescent="0.35">
      <c r="E11" t="s">
        <v>322</v>
      </c>
      <c r="F11" s="6">
        <f>240*42412</f>
        <v>10178880</v>
      </c>
    </row>
    <row r="13" spans="2:8" x14ac:dyDescent="0.35">
      <c r="C13" t="s">
        <v>328</v>
      </c>
    </row>
    <row r="14" spans="2:8" x14ac:dyDescent="0.35">
      <c r="C14" t="s">
        <v>325</v>
      </c>
    </row>
    <row r="16" spans="2:8" x14ac:dyDescent="0.35">
      <c r="C16" t="s">
        <v>326</v>
      </c>
    </row>
    <row r="18" spans="3:5" x14ac:dyDescent="0.35">
      <c r="C18" t="s">
        <v>327</v>
      </c>
    </row>
    <row r="20" spans="3:5" x14ac:dyDescent="0.35">
      <c r="C20" t="s">
        <v>329</v>
      </c>
    </row>
    <row r="22" spans="3:5" x14ac:dyDescent="0.35">
      <c r="C22" t="s">
        <v>330</v>
      </c>
    </row>
    <row r="24" spans="3:5" x14ac:dyDescent="0.35">
      <c r="D24" t="s">
        <v>331</v>
      </c>
    </row>
    <row r="26" spans="3:5" x14ac:dyDescent="0.35">
      <c r="C26" t="s">
        <v>332</v>
      </c>
    </row>
    <row r="29" spans="3:5" x14ac:dyDescent="0.35">
      <c r="C29" s="61" t="s">
        <v>237</v>
      </c>
      <c r="D29" s="61"/>
      <c r="E29" s="64">
        <f>8000000*12</f>
        <v>96000000</v>
      </c>
    </row>
    <row r="30" spans="3:5" x14ac:dyDescent="0.35">
      <c r="C30" s="61" t="s">
        <v>238</v>
      </c>
      <c r="D30" s="61"/>
      <c r="E30" s="64">
        <f>+E29*8%</f>
        <v>7680000</v>
      </c>
    </row>
    <row r="31" spans="3:5" x14ac:dyDescent="0.35">
      <c r="C31" s="93" t="s">
        <v>307</v>
      </c>
      <c r="D31" s="93"/>
      <c r="E31" s="98">
        <f>+E29-E30</f>
        <v>88320000</v>
      </c>
    </row>
    <row r="32" spans="3:5" x14ac:dyDescent="0.35">
      <c r="C32" s="61"/>
      <c r="D32" s="61"/>
      <c r="E32" s="64"/>
    </row>
    <row r="33" spans="2:6" x14ac:dyDescent="0.35">
      <c r="C33" s="61" t="s">
        <v>311</v>
      </c>
      <c r="D33" s="61"/>
      <c r="E33" s="64">
        <f>16286208</f>
        <v>16286208</v>
      </c>
      <c r="F33" s="6">
        <v>16286208</v>
      </c>
    </row>
    <row r="34" spans="2:6" x14ac:dyDescent="0.35">
      <c r="C34" s="61" t="s">
        <v>333</v>
      </c>
      <c r="D34" s="61"/>
      <c r="E34" s="74">
        <v>2000000</v>
      </c>
    </row>
    <row r="35" spans="2:6" x14ac:dyDescent="0.35">
      <c r="C35" s="93" t="s">
        <v>334</v>
      </c>
      <c r="D35" s="61"/>
      <c r="E35" s="64">
        <f>+E33+E34</f>
        <v>18286208</v>
      </c>
    </row>
    <row r="36" spans="2:6" x14ac:dyDescent="0.35">
      <c r="C36" s="61" t="s">
        <v>243</v>
      </c>
      <c r="D36" s="61"/>
      <c r="E36" s="122">
        <f>+F36</f>
        <v>33505480</v>
      </c>
      <c r="F36" s="6">
        <v>33505480</v>
      </c>
    </row>
    <row r="37" spans="2:6" x14ac:dyDescent="0.35">
      <c r="C37" s="93" t="s">
        <v>241</v>
      </c>
      <c r="D37" s="93"/>
      <c r="E37" s="98">
        <f>+E35+E36</f>
        <v>51791688</v>
      </c>
    </row>
    <row r="38" spans="2:6" x14ac:dyDescent="0.35">
      <c r="C38" s="93" t="s">
        <v>242</v>
      </c>
      <c r="D38" s="93"/>
      <c r="E38" s="98">
        <f>+E31*40%</f>
        <v>35328000</v>
      </c>
      <c r="F38" s="6">
        <f>+E33+E36</f>
        <v>49791688</v>
      </c>
    </row>
    <row r="39" spans="2:6" x14ac:dyDescent="0.35">
      <c r="C39" s="93" t="s">
        <v>335</v>
      </c>
      <c r="D39" s="93"/>
      <c r="E39" s="98">
        <f>+E38+E34</f>
        <v>37328000</v>
      </c>
    </row>
    <row r="40" spans="2:6" x14ac:dyDescent="0.35">
      <c r="C40" s="93" t="s">
        <v>336</v>
      </c>
      <c r="D40" s="93"/>
      <c r="E40" s="98"/>
    </row>
    <row r="41" spans="2:6" x14ac:dyDescent="0.35">
      <c r="C41" s="93" t="s">
        <v>313</v>
      </c>
      <c r="D41" s="93"/>
      <c r="E41" s="123">
        <f>((72*42412)*1)</f>
        <v>3053664</v>
      </c>
      <c r="F41" s="6" t="s">
        <v>337</v>
      </c>
    </row>
    <row r="42" spans="2:6" x14ac:dyDescent="0.35">
      <c r="C42" s="61"/>
      <c r="D42" s="61"/>
      <c r="E42" s="64"/>
    </row>
    <row r="43" spans="2:6" x14ac:dyDescent="0.35">
      <c r="C43" s="93" t="s">
        <v>246</v>
      </c>
      <c r="D43" s="93"/>
      <c r="E43" s="98">
        <f>+E31-E39-E41</f>
        <v>47938336</v>
      </c>
    </row>
    <row r="48" spans="2:6" x14ac:dyDescent="0.35">
      <c r="B48" t="s">
        <v>338</v>
      </c>
    </row>
    <row r="50" spans="3:6" x14ac:dyDescent="0.35">
      <c r="C50" t="s">
        <v>339</v>
      </c>
    </row>
    <row r="51" spans="3:6" x14ac:dyDescent="0.35">
      <c r="C51" t="s">
        <v>345</v>
      </c>
    </row>
    <row r="53" spans="3:6" x14ac:dyDescent="0.35">
      <c r="C53" t="s">
        <v>340</v>
      </c>
    </row>
    <row r="55" spans="3:6" x14ac:dyDescent="0.35">
      <c r="F55" s="6">
        <v>15000000</v>
      </c>
    </row>
    <row r="56" spans="3:6" x14ac:dyDescent="0.35">
      <c r="E56" t="s">
        <v>341</v>
      </c>
      <c r="F56" s="6">
        <f>+F55*40%</f>
        <v>6000000</v>
      </c>
    </row>
    <row r="57" spans="3:6" x14ac:dyDescent="0.35">
      <c r="E57" t="s">
        <v>342</v>
      </c>
      <c r="F57" s="6">
        <f>+F56*28.5%</f>
        <v>1709999.9999999998</v>
      </c>
    </row>
    <row r="58" spans="3:6" x14ac:dyDescent="0.35">
      <c r="E58" t="s">
        <v>343</v>
      </c>
      <c r="F58" s="6">
        <f>+F55-F57</f>
        <v>13290000</v>
      </c>
    </row>
    <row r="60" spans="3:6" x14ac:dyDescent="0.35">
      <c r="E60" s="58">
        <v>0.25</v>
      </c>
      <c r="F60" s="6">
        <f>+F58*25%</f>
        <v>3322500</v>
      </c>
    </row>
    <row r="62" spans="3:6" x14ac:dyDescent="0.35">
      <c r="E62" t="s">
        <v>341</v>
      </c>
      <c r="F62" s="6">
        <f>+F55-F57-F60</f>
        <v>9967500</v>
      </c>
    </row>
    <row r="63" spans="3:6" x14ac:dyDescent="0.35">
      <c r="F63" s="6">
        <f>+F62/42412</f>
        <v>235.01603319815146</v>
      </c>
    </row>
    <row r="65" spans="3:6" x14ac:dyDescent="0.35">
      <c r="E65" s="124" t="s">
        <v>344</v>
      </c>
    </row>
    <row r="66" spans="3:6" x14ac:dyDescent="0.35">
      <c r="E66" s="5">
        <f>((F63-150)*28%)+10</f>
        <v>33.804489295482412</v>
      </c>
      <c r="F66" s="6">
        <f>+E66*42412</f>
        <v>1433716</v>
      </c>
    </row>
    <row r="67" spans="3:6" x14ac:dyDescent="0.35">
      <c r="F67" s="125">
        <f>+F66/F55</f>
        <v>9.5581066666666673E-2</v>
      </c>
    </row>
    <row r="73" spans="3:6" x14ac:dyDescent="0.35">
      <c r="C73" t="s">
        <v>346</v>
      </c>
    </row>
    <row r="77" spans="3:6" x14ac:dyDescent="0.35">
      <c r="C77" s="126" t="s">
        <v>3</v>
      </c>
      <c r="D77" s="75"/>
      <c r="E77" s="75"/>
    </row>
    <row r="80" spans="3:6" x14ac:dyDescent="0.35">
      <c r="C80" t="s">
        <v>347</v>
      </c>
    </row>
    <row r="81" spans="3:3" x14ac:dyDescent="0.35">
      <c r="C81" t="s">
        <v>348</v>
      </c>
    </row>
    <row r="82" spans="3:3" x14ac:dyDescent="0.35">
      <c r="C82" t="s">
        <v>349</v>
      </c>
    </row>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D8DD-7B60-4750-A325-E307E07674A2}">
  <dimension ref="B73:K143"/>
  <sheetViews>
    <sheetView topLeftCell="A135" workbookViewId="0">
      <selection activeCell="G140" sqref="G140"/>
    </sheetView>
  </sheetViews>
  <sheetFormatPr baseColWidth="10" defaultRowHeight="14.5" x14ac:dyDescent="0.35"/>
  <cols>
    <col min="3" max="3" width="19.7265625" customWidth="1"/>
    <col min="4" max="4" width="17.7265625" bestFit="1" customWidth="1"/>
    <col min="5" max="5" width="16.1796875" bestFit="1" customWidth="1"/>
    <col min="6" max="6" width="13.6328125" style="6" bestFit="1" customWidth="1"/>
    <col min="7" max="7" width="16.1796875" bestFit="1" customWidth="1"/>
    <col min="8" max="8" width="15.08984375" bestFit="1" customWidth="1"/>
    <col min="10" max="10" width="16.1796875" bestFit="1" customWidth="1"/>
  </cols>
  <sheetData>
    <row r="73" spans="3:7" x14ac:dyDescent="0.35">
      <c r="C73" t="s">
        <v>136</v>
      </c>
    </row>
    <row r="75" spans="3:7" x14ac:dyDescent="0.35">
      <c r="C75" t="s">
        <v>355</v>
      </c>
    </row>
    <row r="76" spans="3:7" x14ac:dyDescent="0.35">
      <c r="D76">
        <v>2022</v>
      </c>
      <c r="E76">
        <v>2023</v>
      </c>
    </row>
    <row r="77" spans="3:7" x14ac:dyDescent="0.35">
      <c r="C77" t="s">
        <v>356</v>
      </c>
      <c r="D77" s="6">
        <v>500000000</v>
      </c>
      <c r="E77" s="5">
        <f>+D77</f>
        <v>500000000</v>
      </c>
    </row>
    <row r="78" spans="3:7" x14ac:dyDescent="0.35">
      <c r="C78" t="s">
        <v>357</v>
      </c>
      <c r="D78" s="6">
        <f>12500*42412</f>
        <v>530150000</v>
      </c>
      <c r="E78" s="74">
        <f>3250*42412</f>
        <v>137839000</v>
      </c>
    </row>
    <row r="79" spans="3:7" x14ac:dyDescent="0.35">
      <c r="D79" s="5">
        <f>+D77-D77</f>
        <v>0</v>
      </c>
      <c r="E79" s="5">
        <f>+E77-E78</f>
        <v>362161000</v>
      </c>
    </row>
    <row r="80" spans="3:7" x14ac:dyDescent="0.35">
      <c r="F80" s="6">
        <v>2023</v>
      </c>
      <c r="G80">
        <v>2022</v>
      </c>
    </row>
    <row r="81" spans="3:11" x14ac:dyDescent="0.35">
      <c r="C81" t="s">
        <v>358</v>
      </c>
      <c r="E81" t="s">
        <v>359</v>
      </c>
      <c r="F81" s="6">
        <v>600000000</v>
      </c>
      <c r="G81" s="5">
        <f>+F81</f>
        <v>600000000</v>
      </c>
    </row>
    <row r="82" spans="3:11" x14ac:dyDescent="0.35">
      <c r="E82" t="s">
        <v>151</v>
      </c>
      <c r="F82" s="6">
        <f>42412*13000</f>
        <v>551356000</v>
      </c>
      <c r="G82" s="6">
        <f>7700*42412</f>
        <v>326572400</v>
      </c>
    </row>
    <row r="83" spans="3:11" x14ac:dyDescent="0.35">
      <c r="E83" t="s">
        <v>341</v>
      </c>
      <c r="F83" s="6">
        <f>+F81-F82</f>
        <v>48644000</v>
      </c>
      <c r="G83" s="5">
        <f>+G81-G82</f>
        <v>273427600</v>
      </c>
    </row>
    <row r="86" spans="3:11" x14ac:dyDescent="0.35">
      <c r="C86" t="s">
        <v>360</v>
      </c>
    </row>
    <row r="87" spans="3:11" x14ac:dyDescent="0.35">
      <c r="D87" s="6">
        <v>300000000</v>
      </c>
    </row>
    <row r="88" spans="3:11" x14ac:dyDescent="0.35">
      <c r="D88" s="6">
        <f>+D87*20%</f>
        <v>60000000</v>
      </c>
      <c r="E88" s="6">
        <f>1625*42412</f>
        <v>68919500</v>
      </c>
    </row>
    <row r="90" spans="3:11" x14ac:dyDescent="0.35">
      <c r="D90" t="s">
        <v>361</v>
      </c>
      <c r="H90" s="6">
        <v>1200000000</v>
      </c>
    </row>
    <row r="93" spans="3:11" x14ac:dyDescent="0.35">
      <c r="F93" s="6" t="s">
        <v>362</v>
      </c>
      <c r="G93" s="6">
        <f>+H90/2</f>
        <v>600000000</v>
      </c>
      <c r="I93" t="s">
        <v>363</v>
      </c>
      <c r="J93" s="6">
        <f>+G93</f>
        <v>600000000</v>
      </c>
    </row>
    <row r="94" spans="3:11" x14ac:dyDescent="0.35">
      <c r="F94" s="6" t="s">
        <v>364</v>
      </c>
      <c r="G94" s="6">
        <f>13000*42412</f>
        <v>551356000</v>
      </c>
      <c r="H94" s="6"/>
      <c r="I94" s="6"/>
      <c r="J94" s="6">
        <f>13000*42412</f>
        <v>551356000</v>
      </c>
      <c r="K94" s="6"/>
    </row>
    <row r="96" spans="3:11" x14ac:dyDescent="0.35">
      <c r="D96" t="s">
        <v>365</v>
      </c>
    </row>
    <row r="97" spans="2:10" x14ac:dyDescent="0.35">
      <c r="D97" t="s">
        <v>366</v>
      </c>
    </row>
    <row r="99" spans="2:10" x14ac:dyDescent="0.35">
      <c r="F99" s="6" t="s">
        <v>356</v>
      </c>
      <c r="G99" s="5">
        <f>+G93</f>
        <v>600000000</v>
      </c>
      <c r="I99" s="6" t="s">
        <v>356</v>
      </c>
      <c r="J99" s="5">
        <f>+J93</f>
        <v>600000000</v>
      </c>
    </row>
    <row r="100" spans="2:10" x14ac:dyDescent="0.35">
      <c r="F100" s="6" t="s">
        <v>367</v>
      </c>
      <c r="G100" s="5">
        <f>+G94</f>
        <v>551356000</v>
      </c>
      <c r="I100" s="6" t="s">
        <v>367</v>
      </c>
      <c r="J100" s="5">
        <f>+J94</f>
        <v>551356000</v>
      </c>
    </row>
    <row r="102" spans="2:10" x14ac:dyDescent="0.35">
      <c r="D102" s="6"/>
      <c r="E102" s="5"/>
    </row>
    <row r="103" spans="2:10" x14ac:dyDescent="0.35">
      <c r="B103" t="s">
        <v>368</v>
      </c>
      <c r="D103" s="6"/>
      <c r="E103" s="5"/>
    </row>
    <row r="105" spans="2:10" x14ac:dyDescent="0.35">
      <c r="C105" t="s">
        <v>369</v>
      </c>
    </row>
    <row r="107" spans="2:10" x14ac:dyDescent="0.35">
      <c r="C107" t="s">
        <v>374</v>
      </c>
      <c r="D107" t="s">
        <v>375</v>
      </c>
      <c r="E107" t="s">
        <v>376</v>
      </c>
    </row>
    <row r="108" spans="2:10" x14ac:dyDescent="0.35">
      <c r="C108" t="s">
        <v>370</v>
      </c>
      <c r="D108" t="s">
        <v>370</v>
      </c>
      <c r="E108" t="s">
        <v>370</v>
      </c>
    </row>
    <row r="109" spans="2:10" x14ac:dyDescent="0.35">
      <c r="C109" t="s">
        <v>371</v>
      </c>
      <c r="D109" t="s">
        <v>377</v>
      </c>
      <c r="E109" t="s">
        <v>371</v>
      </c>
    </row>
    <row r="110" spans="2:10" x14ac:dyDescent="0.35">
      <c r="C110" t="s">
        <v>372</v>
      </c>
      <c r="D110" t="s">
        <v>372</v>
      </c>
      <c r="E110" s="223" t="s">
        <v>373</v>
      </c>
    </row>
    <row r="113" spans="3:8" x14ac:dyDescent="0.35">
      <c r="C113" t="s">
        <v>176</v>
      </c>
      <c r="E113" t="s">
        <v>381</v>
      </c>
      <c r="H113" s="6"/>
    </row>
    <row r="114" spans="3:8" x14ac:dyDescent="0.35">
      <c r="C114" t="s">
        <v>378</v>
      </c>
      <c r="E114" s="6">
        <f>72000*42412</f>
        <v>3053664000</v>
      </c>
      <c r="F114" s="6" t="s">
        <v>380</v>
      </c>
      <c r="H114" s="6"/>
    </row>
    <row r="115" spans="3:8" x14ac:dyDescent="0.35">
      <c r="C115" t="s">
        <v>179</v>
      </c>
      <c r="E115" s="1">
        <v>10000000</v>
      </c>
      <c r="F115" s="6" t="s">
        <v>380</v>
      </c>
      <c r="H115" s="6"/>
    </row>
    <row r="116" spans="3:8" x14ac:dyDescent="0.35">
      <c r="C116" t="s">
        <v>379</v>
      </c>
      <c r="E116" s="5">
        <f>+E114-E115</f>
        <v>3043664000</v>
      </c>
      <c r="H116" s="6"/>
    </row>
    <row r="117" spans="3:8" x14ac:dyDescent="0.35">
      <c r="H117" s="6"/>
    </row>
    <row r="118" spans="3:8" x14ac:dyDescent="0.35">
      <c r="E118" t="s">
        <v>382</v>
      </c>
    </row>
    <row r="119" spans="3:8" x14ac:dyDescent="0.35">
      <c r="E119" t="s">
        <v>383</v>
      </c>
    </row>
    <row r="120" spans="3:8" x14ac:dyDescent="0.35">
      <c r="E120" t="s">
        <v>384</v>
      </c>
    </row>
    <row r="130" spans="3:8" x14ac:dyDescent="0.35">
      <c r="C130" t="s">
        <v>385</v>
      </c>
    </row>
    <row r="131" spans="3:8" x14ac:dyDescent="0.35">
      <c r="E131" t="s">
        <v>389</v>
      </c>
    </row>
    <row r="132" spans="3:8" x14ac:dyDescent="0.35">
      <c r="C132" t="s">
        <v>386</v>
      </c>
      <c r="D132" t="s">
        <v>387</v>
      </c>
      <c r="E132" s="6">
        <v>150000000</v>
      </c>
    </row>
    <row r="133" spans="3:8" x14ac:dyDescent="0.35">
      <c r="D133" t="s">
        <v>388</v>
      </c>
      <c r="E133" s="6">
        <v>50000000</v>
      </c>
    </row>
    <row r="134" spans="3:8" x14ac:dyDescent="0.35">
      <c r="E134" s="6"/>
    </row>
    <row r="135" spans="3:8" x14ac:dyDescent="0.35">
      <c r="E135" t="s">
        <v>390</v>
      </c>
    </row>
    <row r="137" spans="3:8" x14ac:dyDescent="0.35">
      <c r="D137" t="s">
        <v>391</v>
      </c>
      <c r="E137" s="6">
        <v>30000000</v>
      </c>
    </row>
    <row r="139" spans="3:8" x14ac:dyDescent="0.35">
      <c r="D139" t="s">
        <v>392</v>
      </c>
      <c r="E139" s="224">
        <f>+E132+E133+E137</f>
        <v>230000000</v>
      </c>
    </row>
    <row r="140" spans="3:8" x14ac:dyDescent="0.35">
      <c r="D140" t="s">
        <v>393</v>
      </c>
      <c r="E140" s="224">
        <f>+E137-E139</f>
        <v>-200000000</v>
      </c>
      <c r="G140" s="223" t="s">
        <v>394</v>
      </c>
    </row>
    <row r="141" spans="3:8" x14ac:dyDescent="0.35">
      <c r="G141" s="5">
        <f>-E140</f>
        <v>200000000</v>
      </c>
      <c r="H141">
        <v>307</v>
      </c>
    </row>
    <row r="142" spans="3:8" x14ac:dyDescent="0.35">
      <c r="G142" s="6">
        <f>13000*42412</f>
        <v>551356000</v>
      </c>
    </row>
    <row r="143" spans="3:8" x14ac:dyDescent="0.35">
      <c r="G143" s="5">
        <f>+G141-G142</f>
        <v>-351356000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B9460-2D4C-4F31-963F-1ABF30F3980A}">
  <sheetPr>
    <tabColor theme="0"/>
  </sheetPr>
  <dimension ref="B2:J39"/>
  <sheetViews>
    <sheetView showGridLines="0" topLeftCell="A25" workbookViewId="0">
      <selection activeCell="C24" sqref="C24"/>
    </sheetView>
  </sheetViews>
  <sheetFormatPr baseColWidth="10" defaultRowHeight="14.5" x14ac:dyDescent="0.35"/>
  <cols>
    <col min="1" max="1" width="10.90625" style="61"/>
    <col min="2" max="2" width="3.1796875" style="61" bestFit="1" customWidth="1"/>
    <col min="3" max="3" width="55.453125" style="61" customWidth="1"/>
    <col min="4" max="4" width="38.54296875" style="61" customWidth="1"/>
    <col min="5" max="5" width="18.453125" style="61" customWidth="1"/>
    <col min="6" max="6" width="28.81640625" style="61" customWidth="1"/>
    <col min="7" max="7" width="28.7265625" style="61" customWidth="1"/>
    <col min="8" max="8" width="16.1796875" style="61" bestFit="1" customWidth="1"/>
    <col min="9" max="10" width="10.90625" style="61"/>
    <col min="11" max="11" width="14.26953125" style="61" customWidth="1"/>
    <col min="12" max="16384" width="10.90625" style="61"/>
  </cols>
  <sheetData>
    <row r="2" spans="2:8" ht="18.5" x14ac:dyDescent="0.45">
      <c r="C2" s="185" t="s">
        <v>3</v>
      </c>
      <c r="D2" s="185"/>
    </row>
    <row r="3" spans="2:8" ht="10.5" customHeight="1" x14ac:dyDescent="0.35"/>
    <row r="4" spans="2:8" ht="15.65" customHeight="1" x14ac:dyDescent="0.35">
      <c r="C4" s="188" t="s">
        <v>0</v>
      </c>
      <c r="D4" s="59" t="s">
        <v>2</v>
      </c>
      <c r="E4" s="65">
        <f>+D11</f>
        <v>17000000</v>
      </c>
    </row>
    <row r="5" spans="2:8" ht="21" x14ac:dyDescent="0.5">
      <c r="C5" s="188"/>
      <c r="D5" s="144" t="s">
        <v>1</v>
      </c>
    </row>
    <row r="6" spans="2:8" ht="8.5" customHeight="1" x14ac:dyDescent="0.35"/>
    <row r="7" spans="2:8" ht="15.5" x14ac:dyDescent="0.35">
      <c r="C7" s="60" t="s">
        <v>4</v>
      </c>
    </row>
    <row r="8" spans="2:8" ht="15.5" x14ac:dyDescent="0.35">
      <c r="C8" s="140" t="s">
        <v>5</v>
      </c>
      <c r="D8" s="143">
        <v>15000000</v>
      </c>
      <c r="E8" s="191" t="s">
        <v>113</v>
      </c>
      <c r="H8" s="63"/>
    </row>
    <row r="9" spans="2:8" x14ac:dyDescent="0.35">
      <c r="B9" s="128" t="s">
        <v>8</v>
      </c>
      <c r="C9" s="99" t="s">
        <v>350</v>
      </c>
      <c r="D9" s="64">
        <v>2000000</v>
      </c>
      <c r="E9" s="191"/>
    </row>
    <row r="10" spans="2:8" ht="29" x14ac:dyDescent="0.35">
      <c r="B10" s="128" t="s">
        <v>9</v>
      </c>
      <c r="C10" s="141" t="s">
        <v>112</v>
      </c>
      <c r="D10" s="64">
        <v>0</v>
      </c>
      <c r="E10" s="191"/>
    </row>
    <row r="11" spans="2:8" x14ac:dyDescent="0.35">
      <c r="B11" s="128"/>
      <c r="C11" s="142" t="s">
        <v>22</v>
      </c>
      <c r="D11" s="98">
        <f>IF(D8+D9-D10&gt;0,D8+D9-D10,0)</f>
        <v>17000000</v>
      </c>
      <c r="E11" s="191"/>
    </row>
    <row r="13" spans="2:8" ht="28" customHeight="1" x14ac:dyDescent="0.35">
      <c r="C13" s="189" t="s">
        <v>18</v>
      </c>
      <c r="D13" s="189"/>
    </row>
    <row r="14" spans="2:8" ht="7" customHeight="1" x14ac:dyDescent="0.35">
      <c r="C14" s="129"/>
    </row>
    <row r="15" spans="2:8" ht="38.5" customHeight="1" x14ac:dyDescent="0.35">
      <c r="C15" s="189" t="s">
        <v>19</v>
      </c>
      <c r="D15" s="189"/>
    </row>
    <row r="16" spans="2:8" ht="8.15" customHeight="1" x14ac:dyDescent="0.35">
      <c r="C16" s="130"/>
    </row>
    <row r="17" spans="2:10" ht="28" customHeight="1" x14ac:dyDescent="0.35">
      <c r="C17" s="190" t="s">
        <v>20</v>
      </c>
      <c r="D17" s="190"/>
    </row>
    <row r="19" spans="2:10" x14ac:dyDescent="0.35">
      <c r="C19" s="131" t="s">
        <v>17</v>
      </c>
    </row>
    <row r="20" spans="2:10" ht="29" x14ac:dyDescent="0.35">
      <c r="C20" s="145" t="s">
        <v>163</v>
      </c>
      <c r="D20" s="146">
        <v>150000000</v>
      </c>
      <c r="E20" s="61" t="s">
        <v>351</v>
      </c>
      <c r="G20" s="64"/>
      <c r="I20" s="65"/>
      <c r="J20" s="65"/>
    </row>
    <row r="21" spans="2:10" ht="43.5" x14ac:dyDescent="0.35">
      <c r="B21" s="119" t="s">
        <v>8</v>
      </c>
      <c r="C21" s="132" t="s">
        <v>114</v>
      </c>
      <c r="D21" s="64">
        <v>70000000</v>
      </c>
      <c r="E21" s="61" t="s">
        <v>352</v>
      </c>
      <c r="F21" s="81"/>
      <c r="G21" s="64"/>
      <c r="I21" s="65"/>
      <c r="J21" s="65"/>
    </row>
    <row r="22" spans="2:10" ht="29" x14ac:dyDescent="0.35">
      <c r="B22" s="119" t="s">
        <v>9</v>
      </c>
      <c r="C22" s="132" t="s">
        <v>115</v>
      </c>
      <c r="D22" s="64">
        <v>125000</v>
      </c>
      <c r="E22" s="61" t="s">
        <v>353</v>
      </c>
      <c r="G22" s="64"/>
      <c r="H22" s="181"/>
      <c r="I22" s="181"/>
      <c r="J22" s="65"/>
    </row>
    <row r="23" spans="2:10" ht="31" x14ac:dyDescent="0.35">
      <c r="B23" s="119" t="s">
        <v>9</v>
      </c>
      <c r="C23" s="133" t="s">
        <v>11</v>
      </c>
      <c r="D23" s="64">
        <v>0</v>
      </c>
      <c r="G23" s="64"/>
      <c r="I23" s="65"/>
      <c r="J23" s="65"/>
    </row>
    <row r="24" spans="2:10" ht="29" x14ac:dyDescent="0.35">
      <c r="B24" s="119" t="s">
        <v>9</v>
      </c>
      <c r="C24" s="145" t="s">
        <v>164</v>
      </c>
      <c r="D24" s="64">
        <v>80000000</v>
      </c>
      <c r="E24" s="61" t="s">
        <v>354</v>
      </c>
    </row>
    <row r="25" spans="2:10" ht="103" x14ac:dyDescent="0.35">
      <c r="B25" s="119" t="s">
        <v>9</v>
      </c>
      <c r="C25" s="134" t="s">
        <v>165</v>
      </c>
      <c r="D25" s="64">
        <v>0</v>
      </c>
      <c r="H25" s="63"/>
    </row>
    <row r="26" spans="2:10" ht="43.5" x14ac:dyDescent="0.35">
      <c r="B26" s="119" t="s">
        <v>9</v>
      </c>
      <c r="C26" s="132" t="s">
        <v>116</v>
      </c>
      <c r="D26" s="64">
        <v>0</v>
      </c>
      <c r="F26" s="63"/>
      <c r="G26" s="63"/>
      <c r="I26" s="62"/>
    </row>
    <row r="27" spans="2:10" x14ac:dyDescent="0.35">
      <c r="C27" s="131" t="s">
        <v>17</v>
      </c>
      <c r="D27" s="98">
        <f>IF((D20+D21-D22-D23-D24-D25-D26)&gt;0,(D20+D21-D22-D23-D24-D25-D26),0)</f>
        <v>139875000</v>
      </c>
    </row>
    <row r="28" spans="2:10" x14ac:dyDescent="0.35">
      <c r="C28" s="131"/>
    </row>
    <row r="29" spans="2:10" ht="15" thickBot="1" x14ac:dyDescent="0.4">
      <c r="D29" s="64"/>
      <c r="F29" s="91" t="s">
        <v>166</v>
      </c>
      <c r="G29" s="82"/>
    </row>
    <row r="30" spans="2:10" ht="43.5" x14ac:dyDescent="0.35">
      <c r="C30" s="184" t="s">
        <v>0</v>
      </c>
      <c r="D30" s="127" t="s">
        <v>2</v>
      </c>
      <c r="E30" s="135">
        <f>+D11</f>
        <v>17000000</v>
      </c>
      <c r="F30" s="182">
        <f>+E30/E31</f>
        <v>0.12153708668453976</v>
      </c>
      <c r="G30" s="82" t="s">
        <v>167</v>
      </c>
    </row>
    <row r="31" spans="2:10" ht="15" thickBot="1" x14ac:dyDescent="0.4">
      <c r="C31" s="184"/>
      <c r="D31" s="91" t="s">
        <v>1</v>
      </c>
      <c r="E31" s="63">
        <f>+D27</f>
        <v>139875000</v>
      </c>
      <c r="F31" s="183"/>
    </row>
    <row r="33" spans="3:7" x14ac:dyDescent="0.35">
      <c r="C33" s="61" t="s">
        <v>23</v>
      </c>
    </row>
    <row r="34" spans="3:7" x14ac:dyDescent="0.35">
      <c r="C34" s="61" t="s">
        <v>24</v>
      </c>
    </row>
    <row r="35" spans="3:7" ht="15" thickBot="1" x14ac:dyDescent="0.4"/>
    <row r="36" spans="3:7" ht="87" x14ac:dyDescent="0.6">
      <c r="C36" s="186" t="s">
        <v>34</v>
      </c>
      <c r="D36" s="136" t="s">
        <v>21</v>
      </c>
      <c r="F36" s="137"/>
    </row>
    <row r="37" spans="3:7" ht="29" thickBot="1" x14ac:dyDescent="0.7">
      <c r="C37" s="187"/>
      <c r="D37" s="138">
        <f>IF(((D27*15%)-D11)&gt;0,(D27*15%)-D11,0)</f>
        <v>3981250</v>
      </c>
      <c r="E37" s="65"/>
      <c r="F37" s="65"/>
      <c r="G37" s="139"/>
    </row>
    <row r="39" spans="3:7" x14ac:dyDescent="0.35">
      <c r="D39" s="147">
        <f>+D8+D37</f>
        <v>18981250</v>
      </c>
    </row>
  </sheetData>
  <mergeCells count="10">
    <mergeCell ref="H22:I22"/>
    <mergeCell ref="F30:F31"/>
    <mergeCell ref="C30:C31"/>
    <mergeCell ref="C2:D2"/>
    <mergeCell ref="C36:C37"/>
    <mergeCell ref="C4:C5"/>
    <mergeCell ref="C13:D13"/>
    <mergeCell ref="C15:D15"/>
    <mergeCell ref="C17:D17"/>
    <mergeCell ref="E8:E1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E1BE-05A7-43FD-B890-AE6E8D303440}">
  <dimension ref="B2:H43"/>
  <sheetViews>
    <sheetView topLeftCell="B39" workbookViewId="0">
      <selection activeCell="D43" sqref="D43"/>
    </sheetView>
  </sheetViews>
  <sheetFormatPr baseColWidth="10" defaultRowHeight="14.5" x14ac:dyDescent="0.35"/>
  <cols>
    <col min="2" max="2" width="3.1796875" bestFit="1" customWidth="1"/>
    <col min="3" max="3" width="55.453125" customWidth="1"/>
    <col min="4" max="4" width="38.54296875" customWidth="1"/>
    <col min="5" max="5" width="18.453125" customWidth="1"/>
    <col min="6" max="6" width="15.1796875" bestFit="1" customWidth="1"/>
    <col min="7" max="7" width="16.1796875" bestFit="1" customWidth="1"/>
    <col min="8" max="8" width="11.6328125" bestFit="1" customWidth="1"/>
  </cols>
  <sheetData>
    <row r="2" spans="2:7" ht="18.5" x14ac:dyDescent="0.45">
      <c r="C2" s="200" t="s">
        <v>3</v>
      </c>
      <c r="D2" s="200"/>
    </row>
    <row r="3" spans="2:7" ht="10.5" customHeight="1" x14ac:dyDescent="0.35"/>
    <row r="4" spans="2:7" ht="15.65" customHeight="1" x14ac:dyDescent="0.35">
      <c r="C4" s="201" t="s">
        <v>30</v>
      </c>
      <c r="D4" s="66" t="s">
        <v>25</v>
      </c>
    </row>
    <row r="5" spans="2:7" x14ac:dyDescent="0.35">
      <c r="C5" s="201"/>
      <c r="D5" s="8" t="s">
        <v>26</v>
      </c>
    </row>
    <row r="6" spans="2:7" ht="8.5" customHeight="1" x14ac:dyDescent="0.35"/>
    <row r="7" spans="2:7" ht="8.5" customHeight="1" x14ac:dyDescent="0.35"/>
    <row r="8" spans="2:7" ht="15.5" x14ac:dyDescent="0.35">
      <c r="C8" s="9" t="s">
        <v>4</v>
      </c>
      <c r="D8" s="83" t="s">
        <v>27</v>
      </c>
      <c r="E8" s="19" t="s">
        <v>28</v>
      </c>
      <c r="F8" s="19" t="s">
        <v>29</v>
      </c>
    </row>
    <row r="9" spans="2:7" ht="15.5" x14ac:dyDescent="0.35">
      <c r="C9" s="10" t="s">
        <v>5</v>
      </c>
      <c r="D9" s="7">
        <v>42500000</v>
      </c>
      <c r="E9" s="7">
        <v>82000000</v>
      </c>
      <c r="F9" s="5">
        <f>+D9+E9</f>
        <v>124500000</v>
      </c>
      <c r="G9" s="1"/>
    </row>
    <row r="10" spans="2:7" x14ac:dyDescent="0.35">
      <c r="B10" s="12" t="s">
        <v>8</v>
      </c>
      <c r="C10" s="57" t="s">
        <v>7</v>
      </c>
      <c r="D10" s="6">
        <v>0</v>
      </c>
      <c r="E10" s="6">
        <v>0</v>
      </c>
      <c r="F10" s="5">
        <f t="shared" ref="F10:F11" si="0">+D10+E10</f>
        <v>0</v>
      </c>
    </row>
    <row r="11" spans="2:7" ht="29" x14ac:dyDescent="0.35">
      <c r="B11" s="12" t="s">
        <v>9</v>
      </c>
      <c r="C11" s="13" t="s">
        <v>6</v>
      </c>
      <c r="D11" s="6">
        <v>10000000</v>
      </c>
      <c r="E11" s="6">
        <v>0</v>
      </c>
      <c r="F11" s="5">
        <f t="shared" si="0"/>
        <v>10000000</v>
      </c>
    </row>
    <row r="12" spans="2:7" x14ac:dyDescent="0.35">
      <c r="B12" s="12"/>
      <c r="C12" s="3" t="s">
        <v>22</v>
      </c>
      <c r="D12" s="7">
        <f>IF(D9+D10-D11&gt;0,D9+D10-D11,0)</f>
        <v>32500000</v>
      </c>
      <c r="E12" s="7">
        <f>IF(E9+E10-E11&gt;0,E9+E10-E11,0)</f>
        <v>82000000</v>
      </c>
      <c r="F12" s="7">
        <f>IF(F9+F10-F11&gt;0,F9+F10-F11,0)</f>
        <v>114500000</v>
      </c>
    </row>
    <row r="14" spans="2:7" ht="28" customHeight="1" x14ac:dyDescent="0.35">
      <c r="C14" s="202" t="s">
        <v>18</v>
      </c>
      <c r="D14" s="202"/>
    </row>
    <row r="15" spans="2:7" ht="7" customHeight="1" x14ac:dyDescent="0.35">
      <c r="C15" s="14"/>
    </row>
    <row r="16" spans="2:7" ht="38.5" customHeight="1" x14ac:dyDescent="0.35">
      <c r="C16" s="202" t="s">
        <v>19</v>
      </c>
      <c r="D16" s="202"/>
    </row>
    <row r="17" spans="2:6" ht="8.15" customHeight="1" x14ac:dyDescent="0.35">
      <c r="C17" s="15"/>
    </row>
    <row r="18" spans="2:6" ht="28" customHeight="1" x14ac:dyDescent="0.35">
      <c r="C18" s="203" t="s">
        <v>20</v>
      </c>
      <c r="D18" s="203"/>
    </row>
    <row r="20" spans="2:6" x14ac:dyDescent="0.35">
      <c r="C20" s="17" t="s">
        <v>1</v>
      </c>
      <c r="D20" s="19" t="s">
        <v>27</v>
      </c>
      <c r="E20" s="19" t="s">
        <v>28</v>
      </c>
      <c r="F20" s="19" t="s">
        <v>29</v>
      </c>
    </row>
    <row r="21" spans="2:6" ht="29" x14ac:dyDescent="0.35">
      <c r="C21" s="18" t="s">
        <v>15</v>
      </c>
      <c r="D21" s="6">
        <v>500000000</v>
      </c>
      <c r="E21" s="6">
        <v>0</v>
      </c>
      <c r="F21" s="5">
        <f>+D21+E21</f>
        <v>500000000</v>
      </c>
    </row>
    <row r="22" spans="2:6" ht="43.5" x14ac:dyDescent="0.35">
      <c r="B22" s="4" t="s">
        <v>8</v>
      </c>
      <c r="C22" s="18" t="s">
        <v>16</v>
      </c>
      <c r="D22" s="6">
        <v>71428557</v>
      </c>
      <c r="E22" s="6">
        <v>458000</v>
      </c>
      <c r="F22" s="5">
        <f t="shared" ref="F22:F27" si="1">+D22+E22</f>
        <v>71886557</v>
      </c>
    </row>
    <row r="23" spans="2:6" ht="29" x14ac:dyDescent="0.35">
      <c r="B23" s="4" t="s">
        <v>9</v>
      </c>
      <c r="C23" s="18" t="s">
        <v>10</v>
      </c>
      <c r="D23" s="6">
        <v>125000</v>
      </c>
      <c r="E23" s="6">
        <v>125000</v>
      </c>
      <c r="F23" s="5">
        <f t="shared" si="1"/>
        <v>250000</v>
      </c>
    </row>
    <row r="24" spans="2:6" ht="29" x14ac:dyDescent="0.35">
      <c r="B24" s="4" t="s">
        <v>9</v>
      </c>
      <c r="C24" s="18" t="s">
        <v>11</v>
      </c>
      <c r="D24" s="6">
        <v>128000000</v>
      </c>
      <c r="E24" s="6">
        <v>12800000</v>
      </c>
      <c r="F24" s="5">
        <f t="shared" si="1"/>
        <v>140800000</v>
      </c>
    </row>
    <row r="25" spans="2:6" ht="29" x14ac:dyDescent="0.35">
      <c r="B25" s="4" t="s">
        <v>9</v>
      </c>
      <c r="C25" s="18" t="s">
        <v>12</v>
      </c>
      <c r="D25" s="6">
        <v>80000000</v>
      </c>
      <c r="E25" s="6">
        <v>80000000</v>
      </c>
      <c r="F25" s="5">
        <f t="shared" si="1"/>
        <v>160000000</v>
      </c>
    </row>
    <row r="26" spans="2:6" ht="72.5" x14ac:dyDescent="0.35">
      <c r="B26" s="4" t="s">
        <v>9</v>
      </c>
      <c r="C26" s="18" t="s">
        <v>13</v>
      </c>
      <c r="D26" s="6">
        <v>0</v>
      </c>
      <c r="E26" s="6">
        <v>0</v>
      </c>
      <c r="F26" s="5">
        <f t="shared" si="1"/>
        <v>0</v>
      </c>
    </row>
    <row r="27" spans="2:6" ht="43.5" x14ac:dyDescent="0.35">
      <c r="B27" s="4" t="s">
        <v>9</v>
      </c>
      <c r="C27" s="18" t="s">
        <v>14</v>
      </c>
      <c r="D27" s="6">
        <v>125000000</v>
      </c>
      <c r="E27" s="6">
        <v>125000000</v>
      </c>
      <c r="F27" s="5">
        <f t="shared" si="1"/>
        <v>250000000</v>
      </c>
    </row>
    <row r="28" spans="2:6" x14ac:dyDescent="0.35">
      <c r="C28" s="17" t="s">
        <v>17</v>
      </c>
      <c r="D28" s="7">
        <f>IF((D21+D22-D23-D24-D25-D26-D27)&gt;0,(D21+D22-D23-D24-D25-D26-D27),0)</f>
        <v>238303557</v>
      </c>
      <c r="E28" s="7">
        <f>IF((E21+E22-E23-E24-E25-E26-E27)&gt;0,(E21+E22-E23-E24-E25-E26-E27),0)</f>
        <v>0</v>
      </c>
      <c r="F28" s="7">
        <f>IF((F21+F22-F23-F24-F25-F26-F27)&gt;0,(F21+F22-F23-F24-F25-F26-F27),0)</f>
        <v>20836557</v>
      </c>
    </row>
    <row r="29" spans="2:6" x14ac:dyDescent="0.35">
      <c r="C29" s="17"/>
      <c r="D29" s="7"/>
    </row>
    <row r="30" spans="2:6" ht="15" thickBot="1" x14ac:dyDescent="0.4">
      <c r="D30" s="6"/>
    </row>
    <row r="31" spans="2:6" x14ac:dyDescent="0.35">
      <c r="C31" s="204" t="s">
        <v>31</v>
      </c>
      <c r="D31" s="11" t="s">
        <v>25</v>
      </c>
      <c r="E31" s="16">
        <f>+F12</f>
        <v>114500000</v>
      </c>
      <c r="F31" s="192">
        <f>+E31/E32</f>
        <v>5.495149702515632</v>
      </c>
    </row>
    <row r="32" spans="2:6" ht="15" thickBot="1" x14ac:dyDescent="0.4">
      <c r="C32" s="204"/>
      <c r="D32" s="8" t="s">
        <v>26</v>
      </c>
      <c r="E32" s="1">
        <f>+F28</f>
        <v>20836557</v>
      </c>
      <c r="F32" s="193"/>
    </row>
    <row r="34" spans="3:8" x14ac:dyDescent="0.35">
      <c r="C34" t="s">
        <v>40</v>
      </c>
    </row>
    <row r="35" spans="3:8" x14ac:dyDescent="0.35">
      <c r="C35" t="s">
        <v>24</v>
      </c>
    </row>
    <row r="36" spans="3:8" ht="15" thickBot="1" x14ac:dyDescent="0.4"/>
    <row r="37" spans="3:8" ht="87" x14ac:dyDescent="0.35">
      <c r="C37" s="194" t="s">
        <v>33</v>
      </c>
      <c r="D37" s="21" t="s">
        <v>32</v>
      </c>
      <c r="F37" s="6"/>
      <c r="G37" s="6"/>
      <c r="H37" s="5"/>
    </row>
    <row r="38" spans="3:8" ht="15" thickBot="1" x14ac:dyDescent="0.4">
      <c r="C38" s="195"/>
      <c r="D38" s="22">
        <f>IF(((F28*15%)-F12)&gt;0,(F28*15%)-F12,0)</f>
        <v>0</v>
      </c>
    </row>
    <row r="39" spans="3:8" ht="68.150000000000006" customHeight="1" x14ac:dyDescent="0.35">
      <c r="C39" s="196" t="s">
        <v>36</v>
      </c>
      <c r="D39" s="197"/>
    </row>
    <row r="40" spans="3:8" ht="15" thickBot="1" x14ac:dyDescent="0.4">
      <c r="C40" s="198" t="s">
        <v>35</v>
      </c>
      <c r="D40" s="199"/>
    </row>
    <row r="41" spans="3:8" x14ac:dyDescent="0.35">
      <c r="C41" s="24" t="s">
        <v>38</v>
      </c>
      <c r="D41" s="24" t="s">
        <v>37</v>
      </c>
    </row>
    <row r="42" spans="3:8" x14ac:dyDescent="0.35">
      <c r="C42" s="25">
        <f>IF(D28&gt;0,(D28/F28),0)</f>
        <v>11.43680105115255</v>
      </c>
      <c r="D42" s="26">
        <f>IF(E28&gt;0,(E28/F28),0)</f>
        <v>0</v>
      </c>
    </row>
    <row r="43" spans="3:8" ht="15" thickBot="1" x14ac:dyDescent="0.4">
      <c r="C43" s="27">
        <f>+D38*C42</f>
        <v>0</v>
      </c>
      <c r="D43" s="27">
        <f>+D38*D42</f>
        <v>0</v>
      </c>
    </row>
  </sheetData>
  <mergeCells count="10">
    <mergeCell ref="F31:F32"/>
    <mergeCell ref="C37:C38"/>
    <mergeCell ref="C39:D39"/>
    <mergeCell ref="C40:D40"/>
    <mergeCell ref="C2:D2"/>
    <mergeCell ref="C4:C5"/>
    <mergeCell ref="C14:D14"/>
    <mergeCell ref="C16:D16"/>
    <mergeCell ref="C18:D18"/>
    <mergeCell ref="C31:C3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3F94-CF72-4515-87EC-866CD949CF6B}">
  <dimension ref="C2:S38"/>
  <sheetViews>
    <sheetView showGridLines="0" tabSelected="1" topLeftCell="B1" zoomScale="110" zoomScaleNormal="110" workbookViewId="0">
      <pane xSplit="2" ySplit="4" topLeftCell="G5" activePane="bottomRight" state="frozen"/>
      <selection activeCell="B1" sqref="B1"/>
      <selection pane="topRight" activeCell="D1" sqref="D1"/>
      <selection pane="bottomLeft" activeCell="B5" sqref="B5"/>
      <selection pane="bottomRight" activeCell="G11" sqref="G11"/>
    </sheetView>
  </sheetViews>
  <sheetFormatPr baseColWidth="10" defaultColWidth="11.453125" defaultRowHeight="14" x14ac:dyDescent="0.3"/>
  <cols>
    <col min="1" max="1" width="11.453125" style="40"/>
    <col min="2" max="2" width="3.1796875" style="40" bestFit="1" customWidth="1"/>
    <col min="3" max="3" width="55.453125" style="40" customWidth="1"/>
    <col min="4" max="19" width="26.453125" style="40" customWidth="1"/>
    <col min="20" max="16384" width="11.453125" style="40"/>
  </cols>
  <sheetData>
    <row r="2" spans="3:19" x14ac:dyDescent="0.3">
      <c r="C2" s="205" t="s">
        <v>72</v>
      </c>
      <c r="D2" s="205"/>
    </row>
    <row r="3" spans="3:19" s="41" customFormat="1" x14ac:dyDescent="0.3">
      <c r="F3" s="41" t="s">
        <v>95</v>
      </c>
      <c r="G3" s="41" t="s">
        <v>96</v>
      </c>
      <c r="H3" s="41" t="s">
        <v>98</v>
      </c>
      <c r="I3" s="41" t="s">
        <v>101</v>
      </c>
      <c r="J3" s="41" t="s">
        <v>104</v>
      </c>
      <c r="K3" s="41" t="s">
        <v>109</v>
      </c>
      <c r="L3" s="40" t="s">
        <v>111</v>
      </c>
    </row>
    <row r="4" spans="3:19" x14ac:dyDescent="0.3">
      <c r="D4" s="43" t="s">
        <v>73</v>
      </c>
      <c r="E4" s="43" t="s">
        <v>74</v>
      </c>
      <c r="F4" s="43" t="s">
        <v>75</v>
      </c>
      <c r="G4" s="43" t="s">
        <v>76</v>
      </c>
      <c r="H4" s="43" t="s">
        <v>97</v>
      </c>
      <c r="I4" s="43" t="s">
        <v>102</v>
      </c>
      <c r="J4" s="43" t="s">
        <v>103</v>
      </c>
      <c r="K4" s="43" t="s">
        <v>108</v>
      </c>
    </row>
    <row r="5" spans="3:19" x14ac:dyDescent="0.3">
      <c r="C5" s="40" t="s">
        <v>91</v>
      </c>
      <c r="D5" s="67">
        <v>32654000</v>
      </c>
      <c r="E5" s="45">
        <v>32654000</v>
      </c>
      <c r="F5" s="45">
        <v>32654000</v>
      </c>
      <c r="G5" s="45">
        <v>32654000</v>
      </c>
      <c r="H5" s="45">
        <v>32654000</v>
      </c>
      <c r="I5" s="45">
        <v>32654000</v>
      </c>
      <c r="J5" s="45">
        <v>32654000</v>
      </c>
      <c r="K5" s="45">
        <v>32654000</v>
      </c>
      <c r="M5" s="46"/>
      <c r="N5" s="46"/>
      <c r="O5" s="46"/>
      <c r="P5" s="46"/>
      <c r="Q5" s="46"/>
      <c r="R5" s="46"/>
      <c r="S5" s="46"/>
    </row>
    <row r="6" spans="3:19" x14ac:dyDescent="0.3">
      <c r="C6" s="40" t="s">
        <v>88</v>
      </c>
      <c r="D6" s="45">
        <v>0</v>
      </c>
      <c r="E6" s="45">
        <v>0</v>
      </c>
      <c r="F6" s="67">
        <v>1200000</v>
      </c>
      <c r="G6" s="45">
        <v>0</v>
      </c>
      <c r="H6" s="45">
        <v>0</v>
      </c>
      <c r="I6" s="45">
        <v>0</v>
      </c>
      <c r="J6" s="45">
        <v>0</v>
      </c>
      <c r="K6" s="45">
        <v>0</v>
      </c>
      <c r="M6" s="46"/>
      <c r="N6" s="46"/>
      <c r="O6" s="46"/>
      <c r="P6" s="46"/>
      <c r="Q6" s="46"/>
      <c r="R6" s="46"/>
      <c r="S6" s="46"/>
    </row>
    <row r="7" spans="3:19" x14ac:dyDescent="0.3">
      <c r="C7" s="40" t="s">
        <v>89</v>
      </c>
      <c r="D7" s="45">
        <v>3214000</v>
      </c>
      <c r="E7" s="45">
        <v>3214000</v>
      </c>
      <c r="F7" s="45">
        <v>0</v>
      </c>
      <c r="G7" s="45">
        <v>0</v>
      </c>
      <c r="H7" s="45">
        <v>6500000</v>
      </c>
      <c r="I7" s="45">
        <v>0</v>
      </c>
      <c r="J7" s="45">
        <v>0</v>
      </c>
      <c r="K7" s="45">
        <v>0</v>
      </c>
      <c r="M7" s="46"/>
      <c r="N7" s="46"/>
      <c r="O7" s="46"/>
      <c r="P7" s="46"/>
      <c r="Q7" s="46"/>
      <c r="R7" s="46"/>
      <c r="S7" s="46"/>
    </row>
    <row r="8" spans="3:19" x14ac:dyDescent="0.3">
      <c r="C8" s="40" t="s">
        <v>90</v>
      </c>
      <c r="D8" s="45">
        <v>6000000</v>
      </c>
      <c r="E8" s="45">
        <v>6000000</v>
      </c>
      <c r="F8" s="45">
        <v>0</v>
      </c>
      <c r="G8" s="45">
        <v>0</v>
      </c>
      <c r="H8" s="45">
        <v>0</v>
      </c>
      <c r="I8" s="45">
        <v>0</v>
      </c>
      <c r="J8" s="45">
        <v>0</v>
      </c>
      <c r="K8" s="45">
        <v>0</v>
      </c>
      <c r="M8" s="46"/>
      <c r="N8" s="46"/>
      <c r="O8" s="46"/>
      <c r="P8" s="46"/>
      <c r="Q8" s="46"/>
      <c r="R8" s="46"/>
      <c r="S8" s="46"/>
    </row>
    <row r="9" spans="3:19" x14ac:dyDescent="0.3">
      <c r="C9" s="40" t="s">
        <v>107</v>
      </c>
      <c r="D9" s="45">
        <v>0</v>
      </c>
      <c r="E9" s="45">
        <v>0</v>
      </c>
      <c r="F9" s="45">
        <v>0</v>
      </c>
      <c r="G9" s="45">
        <v>0</v>
      </c>
      <c r="H9" s="45">
        <v>0</v>
      </c>
      <c r="I9" s="45">
        <v>0</v>
      </c>
      <c r="J9" s="45">
        <v>0</v>
      </c>
      <c r="K9" s="45">
        <v>0</v>
      </c>
      <c r="M9" s="46"/>
      <c r="N9" s="46"/>
      <c r="O9" s="46"/>
      <c r="P9" s="46"/>
      <c r="Q9" s="46"/>
      <c r="R9" s="46"/>
      <c r="S9" s="46"/>
    </row>
    <row r="10" spans="3:19" x14ac:dyDescent="0.3">
      <c r="C10" s="40" t="s">
        <v>110</v>
      </c>
      <c r="D10" s="45">
        <v>0</v>
      </c>
      <c r="E10" s="45">
        <v>0</v>
      </c>
      <c r="F10" s="45">
        <v>0</v>
      </c>
      <c r="G10" s="45">
        <v>0</v>
      </c>
      <c r="H10" s="45">
        <v>0</v>
      </c>
      <c r="I10" s="45">
        <v>0</v>
      </c>
      <c r="J10" s="45">
        <v>0</v>
      </c>
      <c r="K10" s="45">
        <v>-320000</v>
      </c>
      <c r="M10" s="46"/>
      <c r="N10" s="46"/>
      <c r="O10" s="46"/>
      <c r="P10" s="46"/>
      <c r="Q10" s="46"/>
      <c r="R10" s="46"/>
      <c r="S10" s="46"/>
    </row>
    <row r="11" spans="3:19" s="148" customFormat="1" x14ac:dyDescent="0.3">
      <c r="C11" s="148" t="s">
        <v>79</v>
      </c>
      <c r="D11" s="149">
        <v>0</v>
      </c>
      <c r="E11" s="149">
        <v>0</v>
      </c>
      <c r="F11" s="149">
        <v>0</v>
      </c>
      <c r="G11" s="149">
        <v>12500000</v>
      </c>
      <c r="H11" s="149">
        <v>0</v>
      </c>
      <c r="I11" s="149">
        <v>0</v>
      </c>
      <c r="J11" s="149">
        <v>0</v>
      </c>
      <c r="K11" s="149">
        <v>0</v>
      </c>
      <c r="M11" s="150"/>
      <c r="N11" s="150"/>
      <c r="O11" s="150"/>
      <c r="P11" s="150"/>
      <c r="Q11" s="150"/>
      <c r="R11" s="150"/>
      <c r="S11" s="150"/>
    </row>
    <row r="12" spans="3:19" x14ac:dyDescent="0.3">
      <c r="C12" s="40" t="s">
        <v>99</v>
      </c>
      <c r="D12" s="45">
        <v>0</v>
      </c>
      <c r="E12" s="45">
        <v>0</v>
      </c>
      <c r="F12" s="45">
        <v>0</v>
      </c>
      <c r="G12" s="45">
        <v>0</v>
      </c>
      <c r="H12" s="45">
        <v>1200000</v>
      </c>
      <c r="I12" s="45">
        <v>0</v>
      </c>
      <c r="J12" s="45">
        <v>0</v>
      </c>
      <c r="K12" s="45">
        <v>0</v>
      </c>
      <c r="M12" s="46"/>
      <c r="N12" s="46"/>
      <c r="O12" s="46"/>
      <c r="P12" s="46"/>
      <c r="Q12" s="46"/>
      <c r="R12" s="46"/>
      <c r="S12" s="46"/>
    </row>
    <row r="13" spans="3:19" x14ac:dyDescent="0.3">
      <c r="C13" s="40" t="s">
        <v>77</v>
      </c>
      <c r="D13" s="45">
        <v>0</v>
      </c>
      <c r="E13" s="45">
        <v>0</v>
      </c>
      <c r="F13" s="45">
        <v>0</v>
      </c>
      <c r="G13" s="45">
        <v>0</v>
      </c>
      <c r="H13" s="45">
        <v>420000</v>
      </c>
      <c r="I13" s="45">
        <v>0</v>
      </c>
      <c r="J13" s="45">
        <v>0</v>
      </c>
      <c r="K13" s="45">
        <v>0</v>
      </c>
      <c r="M13" s="46"/>
      <c r="N13" s="46"/>
      <c r="O13" s="46"/>
      <c r="P13" s="46"/>
      <c r="Q13" s="46"/>
      <c r="R13" s="46"/>
      <c r="S13" s="46"/>
    </row>
    <row r="14" spans="3:19" x14ac:dyDescent="0.3">
      <c r="C14" s="40" t="s">
        <v>78</v>
      </c>
      <c r="D14" s="67">
        <v>-26354000</v>
      </c>
      <c r="E14" s="45">
        <v>-26354000</v>
      </c>
      <c r="F14" s="45">
        <v>-26354000</v>
      </c>
      <c r="G14" s="45">
        <v>-26354000</v>
      </c>
      <c r="H14" s="45">
        <v>-26354000</v>
      </c>
      <c r="I14" s="45">
        <v>-26354000</v>
      </c>
      <c r="J14" s="45">
        <v>-39354000</v>
      </c>
      <c r="K14" s="45">
        <v>-26354000</v>
      </c>
      <c r="M14" s="46"/>
      <c r="N14" s="46"/>
      <c r="O14" s="46"/>
      <c r="P14" s="46"/>
      <c r="Q14" s="46"/>
      <c r="R14" s="46"/>
      <c r="S14" s="46"/>
    </row>
    <row r="15" spans="3:19" x14ac:dyDescent="0.3">
      <c r="C15" s="40" t="s">
        <v>93</v>
      </c>
      <c r="D15" s="47">
        <v>0</v>
      </c>
      <c r="E15" s="47">
        <v>-1350000</v>
      </c>
      <c r="F15" s="47">
        <v>0</v>
      </c>
      <c r="G15" s="47">
        <v>0</v>
      </c>
      <c r="H15" s="47">
        <v>0</v>
      </c>
      <c r="I15" s="47">
        <v>0</v>
      </c>
      <c r="J15" s="47">
        <v>0</v>
      </c>
      <c r="K15" s="47">
        <v>0</v>
      </c>
      <c r="M15" s="46"/>
      <c r="N15" s="46"/>
      <c r="O15" s="46"/>
      <c r="P15" s="46"/>
      <c r="Q15" s="46"/>
      <c r="R15" s="46"/>
      <c r="S15" s="46"/>
    </row>
    <row r="16" spans="3:19" x14ac:dyDescent="0.3">
      <c r="C16" s="42" t="s">
        <v>80</v>
      </c>
      <c r="D16" s="48">
        <f>SUM(D5:D15)</f>
        <v>15514000</v>
      </c>
      <c r="E16" s="48">
        <f t="shared" ref="E16:G16" si="0">SUM(E5:E15)</f>
        <v>14164000</v>
      </c>
      <c r="F16" s="48">
        <f t="shared" si="0"/>
        <v>7500000</v>
      </c>
      <c r="G16" s="48">
        <f t="shared" si="0"/>
        <v>18800000</v>
      </c>
      <c r="H16" s="48">
        <f>SUM(H5:H15)</f>
        <v>14420000</v>
      </c>
      <c r="I16" s="48">
        <f>SUM(I5:I15)</f>
        <v>6300000</v>
      </c>
      <c r="J16" s="48">
        <f>SUM(J5:J15)</f>
        <v>-6700000</v>
      </c>
      <c r="K16" s="48">
        <f>SUM(K5:K15)</f>
        <v>5980000</v>
      </c>
      <c r="M16" s="46"/>
      <c r="N16" s="46"/>
      <c r="O16" s="46"/>
      <c r="P16" s="46"/>
      <c r="Q16" s="46"/>
      <c r="R16" s="46"/>
      <c r="S16" s="46"/>
    </row>
    <row r="17" spans="3:19" x14ac:dyDescent="0.3">
      <c r="C17" s="40" t="s">
        <v>81</v>
      </c>
      <c r="D17" s="45">
        <f>-D21*35%</f>
        <v>-2205000</v>
      </c>
      <c r="E17" s="45">
        <f t="shared" ref="E17:G17" si="1">-E21*35%</f>
        <v>-2205000</v>
      </c>
      <c r="F17" s="45">
        <f>-F21*35%</f>
        <v>-2205000</v>
      </c>
      <c r="G17" s="45">
        <f t="shared" si="1"/>
        <v>-2205000</v>
      </c>
      <c r="H17" s="45">
        <f t="shared" ref="H17:I17" si="2">-H21*35%</f>
        <v>-2205000</v>
      </c>
      <c r="I17" s="45">
        <f t="shared" si="2"/>
        <v>-1854999.9999999998</v>
      </c>
      <c r="J17" s="45">
        <f>-J21*35%*0</f>
        <v>0</v>
      </c>
      <c r="K17" s="45">
        <f>-K21*35%</f>
        <v>-1868999.9999999998</v>
      </c>
      <c r="M17" s="46"/>
      <c r="N17" s="46"/>
      <c r="O17" s="46"/>
      <c r="P17" s="46"/>
      <c r="Q17" s="46"/>
      <c r="R17" s="46"/>
      <c r="S17" s="46"/>
    </row>
    <row r="18" spans="3:19" x14ac:dyDescent="0.3">
      <c r="C18" s="40" t="s">
        <v>82</v>
      </c>
      <c r="D18" s="47">
        <f t="shared" ref="D18:I18" si="3">-(D6-D24-D10-D23-D9)*35%</f>
        <v>0</v>
      </c>
      <c r="E18" s="47">
        <f t="shared" si="3"/>
        <v>0</v>
      </c>
      <c r="F18" s="47">
        <f t="shared" si="3"/>
        <v>-420000</v>
      </c>
      <c r="G18" s="47">
        <f t="shared" si="3"/>
        <v>0</v>
      </c>
      <c r="H18" s="47">
        <f t="shared" si="3"/>
        <v>0</v>
      </c>
      <c r="I18" s="47">
        <f t="shared" si="3"/>
        <v>0</v>
      </c>
      <c r="J18" s="47">
        <f>-(J6+J21)*35%</f>
        <v>2345000</v>
      </c>
      <c r="K18" s="47">
        <f>-(K6-K24-K10-K23-K9)*35%</f>
        <v>224000</v>
      </c>
      <c r="M18" s="46"/>
      <c r="N18" s="46"/>
      <c r="O18" s="46"/>
      <c r="P18" s="46"/>
      <c r="Q18" s="46"/>
      <c r="R18" s="46"/>
      <c r="S18" s="46"/>
    </row>
    <row r="19" spans="3:19" x14ac:dyDescent="0.3">
      <c r="C19" s="42" t="s">
        <v>83</v>
      </c>
      <c r="D19" s="48">
        <f t="shared" ref="D19:I19" si="4">SUM(D16:D18)</f>
        <v>13309000</v>
      </c>
      <c r="E19" s="48">
        <f t="shared" si="4"/>
        <v>11959000</v>
      </c>
      <c r="F19" s="48">
        <f>SUM(F16:F18)</f>
        <v>4875000</v>
      </c>
      <c r="G19" s="48">
        <f t="shared" si="4"/>
        <v>16595000</v>
      </c>
      <c r="H19" s="48">
        <f t="shared" si="4"/>
        <v>12215000</v>
      </c>
      <c r="I19" s="48">
        <f t="shared" si="4"/>
        <v>4445000</v>
      </c>
      <c r="J19" s="48">
        <f>SUM(J16:J18)</f>
        <v>-4355000</v>
      </c>
      <c r="K19" s="48">
        <f>SUM(K16:K18)</f>
        <v>4335000</v>
      </c>
    </row>
    <row r="21" spans="3:19" x14ac:dyDescent="0.3">
      <c r="C21" s="42" t="s">
        <v>84</v>
      </c>
      <c r="D21" s="48">
        <f>+D5+D14-D22-D23-D24</f>
        <v>6300000</v>
      </c>
      <c r="E21" s="48">
        <f>+E5+E14-E22-E23-E24</f>
        <v>6300000</v>
      </c>
      <c r="F21" s="48">
        <f>+F5+F14-F22-F23-F24</f>
        <v>6300000</v>
      </c>
      <c r="G21" s="48">
        <f>+G5+G14-G22-G23-G24</f>
        <v>6300000</v>
      </c>
      <c r="H21" s="44">
        <f t="shared" ref="H21" si="5">+H5+H14</f>
        <v>6300000</v>
      </c>
      <c r="I21" s="44">
        <f>+I5+I14-I22</f>
        <v>5300000</v>
      </c>
      <c r="J21" s="48">
        <f>+J5+J14-J22</f>
        <v>-6700000</v>
      </c>
      <c r="K21" s="48">
        <f>+K5+K14-K22-K23-K24</f>
        <v>5340000</v>
      </c>
    </row>
    <row r="22" spans="3:19" x14ac:dyDescent="0.3">
      <c r="C22" s="40" t="s">
        <v>100</v>
      </c>
      <c r="D22" s="55">
        <v>0</v>
      </c>
      <c r="E22" s="55">
        <v>0</v>
      </c>
      <c r="F22" s="55">
        <v>0</v>
      </c>
      <c r="G22" s="55">
        <v>0</v>
      </c>
      <c r="H22" s="55">
        <v>0</v>
      </c>
      <c r="I22" s="55">
        <v>1000000</v>
      </c>
      <c r="J22" s="55">
        <v>0</v>
      </c>
      <c r="K22" s="55">
        <v>0</v>
      </c>
    </row>
    <row r="23" spans="3:19" x14ac:dyDescent="0.3">
      <c r="C23" s="40" t="s">
        <v>105</v>
      </c>
      <c r="D23" s="55">
        <v>0</v>
      </c>
      <c r="E23" s="55">
        <v>0</v>
      </c>
      <c r="F23" s="55">
        <v>0</v>
      </c>
      <c r="G23" s="55">
        <v>0</v>
      </c>
      <c r="H23" s="55">
        <v>0</v>
      </c>
      <c r="I23" s="55">
        <v>0</v>
      </c>
      <c r="J23" s="55">
        <v>0</v>
      </c>
      <c r="K23" s="55">
        <f>-K10*3</f>
        <v>960000</v>
      </c>
    </row>
    <row r="24" spans="3:19" x14ac:dyDescent="0.3">
      <c r="C24" s="40" t="s">
        <v>106</v>
      </c>
      <c r="D24" s="55">
        <v>0</v>
      </c>
      <c r="E24" s="55">
        <v>0</v>
      </c>
      <c r="F24" s="55">
        <f>400000*0</f>
        <v>0</v>
      </c>
      <c r="G24" s="55">
        <v>0</v>
      </c>
      <c r="H24" s="55">
        <v>0</v>
      </c>
      <c r="I24" s="55">
        <v>0</v>
      </c>
      <c r="J24" s="55">
        <v>0</v>
      </c>
      <c r="K24" s="55">
        <v>0</v>
      </c>
    </row>
    <row r="25" spans="3:19" x14ac:dyDescent="0.3">
      <c r="D25" s="55"/>
      <c r="E25" s="55"/>
      <c r="F25" s="55"/>
      <c r="G25" s="55"/>
      <c r="H25" s="55"/>
      <c r="I25" s="55"/>
      <c r="J25" s="55"/>
      <c r="K25" s="55"/>
    </row>
    <row r="27" spans="3:19" x14ac:dyDescent="0.3">
      <c r="C27" s="42" t="s">
        <v>85</v>
      </c>
      <c r="D27" s="50">
        <f>+D28/D29</f>
        <v>0.35</v>
      </c>
      <c r="E27" s="50">
        <f t="shared" ref="E27" si="6">+E28/E29</f>
        <v>0.35</v>
      </c>
      <c r="F27" s="50">
        <f t="shared" ref="F27:K27" si="7">+F28/F29</f>
        <v>0.29399999999999998</v>
      </c>
      <c r="G27" s="50">
        <f t="shared" si="7"/>
        <v>0.11728723404255319</v>
      </c>
      <c r="H27" s="50">
        <f t="shared" si="7"/>
        <v>0.26438848920863312</v>
      </c>
      <c r="I27" s="50">
        <f t="shared" si="7"/>
        <v>0.35</v>
      </c>
      <c r="J27" s="50">
        <f t="shared" si="7"/>
        <v>0</v>
      </c>
      <c r="K27" s="50">
        <f t="shared" si="7"/>
        <v>0.31254180602006687</v>
      </c>
    </row>
    <row r="28" spans="3:19" x14ac:dyDescent="0.3">
      <c r="C28" s="40" t="s">
        <v>86</v>
      </c>
      <c r="D28" s="49">
        <f>-D17</f>
        <v>2205000</v>
      </c>
      <c r="E28" s="49">
        <f t="shared" ref="E28:G28" si="8">-E17</f>
        <v>2205000</v>
      </c>
      <c r="F28" s="49">
        <f t="shared" si="8"/>
        <v>2205000</v>
      </c>
      <c r="G28" s="49">
        <f t="shared" si="8"/>
        <v>2205000</v>
      </c>
      <c r="H28" s="49">
        <f t="shared" ref="H28:I28" si="9">-H17</f>
        <v>2205000</v>
      </c>
      <c r="I28" s="49">
        <f t="shared" si="9"/>
        <v>1854999.9999999998</v>
      </c>
      <c r="J28" s="49">
        <f t="shared" ref="J28:K28" si="10">-J17</f>
        <v>0</v>
      </c>
      <c r="K28" s="49">
        <f t="shared" si="10"/>
        <v>1868999.9999999998</v>
      </c>
    </row>
    <row r="29" spans="3:19" x14ac:dyDescent="0.3">
      <c r="C29" s="40" t="s">
        <v>87</v>
      </c>
      <c r="D29" s="49">
        <f t="shared" ref="D29:H29" si="11">+D16+D13-D8-D7-D15-D22</f>
        <v>6300000</v>
      </c>
      <c r="E29" s="49">
        <f t="shared" si="11"/>
        <v>6300000</v>
      </c>
      <c r="F29" s="49">
        <f t="shared" si="11"/>
        <v>7500000</v>
      </c>
      <c r="G29" s="49">
        <f>+G16+G13-G8-G7-G15-G22</f>
        <v>18800000</v>
      </c>
      <c r="H29" s="49">
        <f t="shared" si="11"/>
        <v>8340000</v>
      </c>
      <c r="I29" s="49">
        <f>+I16+I13-I8-I7-I15-I22</f>
        <v>5300000</v>
      </c>
      <c r="J29" s="49">
        <f>+J16+J13-J8-J7-J15-J22</f>
        <v>-6700000</v>
      </c>
      <c r="K29" s="49">
        <f>+K16+K13-K8-K7-K15-K22</f>
        <v>5980000</v>
      </c>
    </row>
    <row r="31" spans="3:19" ht="18" x14ac:dyDescent="0.4">
      <c r="C31" s="42" t="s">
        <v>92</v>
      </c>
      <c r="D31" s="50">
        <f>-(D17+D18)/D16</f>
        <v>0.1421296893128787</v>
      </c>
      <c r="E31" s="50">
        <f t="shared" ref="E31:G31" si="12">-(E17+E18)/E16</f>
        <v>0.15567636260943235</v>
      </c>
      <c r="F31" s="50">
        <f t="shared" si="12"/>
        <v>0.35</v>
      </c>
      <c r="G31" s="68">
        <f t="shared" si="12"/>
        <v>0.11728723404255319</v>
      </c>
      <c r="H31" s="50">
        <f t="shared" ref="H31:I31" si="13">-(H17+H18)/H16</f>
        <v>0.15291262135922329</v>
      </c>
      <c r="I31" s="50">
        <f t="shared" si="13"/>
        <v>0.2944444444444444</v>
      </c>
      <c r="J31" s="50">
        <f t="shared" ref="J31:K31" si="14">-(J17+J18)/J16</f>
        <v>0.35</v>
      </c>
      <c r="K31" s="50">
        <f t="shared" si="14"/>
        <v>0.27508361204013376</v>
      </c>
    </row>
    <row r="32" spans="3:19" x14ac:dyDescent="0.3">
      <c r="C32" s="42"/>
      <c r="D32" s="50"/>
      <c r="E32" s="50"/>
      <c r="F32" s="50"/>
      <c r="G32" s="50"/>
    </row>
    <row r="33" spans="3:7" x14ac:dyDescent="0.3">
      <c r="C33" s="42"/>
      <c r="D33" s="50"/>
      <c r="E33" s="50"/>
      <c r="F33" s="50"/>
      <c r="G33" s="50"/>
    </row>
    <row r="34" spans="3:7" s="51" customFormat="1" x14ac:dyDescent="0.3">
      <c r="C34" s="52"/>
      <c r="D34" s="53"/>
      <c r="E34" s="53"/>
      <c r="F34" s="56">
        <f>+F29*15%-F16</f>
        <v>-6375000</v>
      </c>
      <c r="G34" s="56"/>
    </row>
    <row r="35" spans="3:7" s="51" customFormat="1" x14ac:dyDescent="0.3">
      <c r="C35" s="52"/>
      <c r="D35" s="53"/>
      <c r="E35" s="53"/>
      <c r="F35" s="53"/>
      <c r="G35" s="53"/>
    </row>
    <row r="36" spans="3:7" x14ac:dyDescent="0.3">
      <c r="C36" s="42"/>
      <c r="D36" s="50"/>
      <c r="E36" s="50"/>
      <c r="F36" s="50"/>
      <c r="G36" s="50"/>
    </row>
    <row r="37" spans="3:7" x14ac:dyDescent="0.3">
      <c r="C37" s="42"/>
      <c r="D37" s="50"/>
      <c r="E37" s="50"/>
      <c r="F37" s="50"/>
      <c r="G37" s="50"/>
    </row>
    <row r="38" spans="3:7" ht="266" x14ac:dyDescent="0.3">
      <c r="C38" s="54" t="s">
        <v>94</v>
      </c>
    </row>
  </sheetData>
  <mergeCells count="1">
    <mergeCell ref="C2:D2"/>
  </mergeCells>
  <pageMargins left="0.7" right="0.7" top="0.75" bottom="0.75" header="0.3" footer="0.3"/>
  <pageSetup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7999-2239-4A88-8EAC-1EF76F2CB324}">
  <dimension ref="B1:J20"/>
  <sheetViews>
    <sheetView workbookViewId="0">
      <selection activeCell="G13" sqref="G13"/>
    </sheetView>
  </sheetViews>
  <sheetFormatPr baseColWidth="10" defaultRowHeight="14.5" x14ac:dyDescent="0.35"/>
  <cols>
    <col min="2" max="2" width="25.81640625" bestFit="1" customWidth="1"/>
    <col min="3" max="3" width="22.81640625" customWidth="1"/>
    <col min="4" max="4" width="17.7265625" customWidth="1"/>
    <col min="5" max="5" width="14.81640625" customWidth="1"/>
    <col min="8" max="8" width="15.1796875" bestFit="1" customWidth="1"/>
    <col min="10" max="10" width="15.1796875" bestFit="1" customWidth="1"/>
  </cols>
  <sheetData>
    <row r="1" spans="2:10" ht="37" customHeight="1" x14ac:dyDescent="0.35">
      <c r="B1" s="201" t="s">
        <v>43</v>
      </c>
      <c r="C1" s="201"/>
      <c r="D1" s="201"/>
      <c r="E1" s="201"/>
    </row>
    <row r="2" spans="2:10" x14ac:dyDescent="0.35">
      <c r="C2" s="19" t="s">
        <v>27</v>
      </c>
      <c r="D2" s="19" t="s">
        <v>28</v>
      </c>
      <c r="E2" s="19" t="s">
        <v>29</v>
      </c>
    </row>
    <row r="3" spans="2:10" ht="15.5" x14ac:dyDescent="0.35">
      <c r="B3" s="10" t="s">
        <v>39</v>
      </c>
      <c r="C3" s="28">
        <v>32500000</v>
      </c>
      <c r="D3" s="28">
        <v>8257000</v>
      </c>
      <c r="E3" s="28">
        <f>+C3+D3</f>
        <v>40757000</v>
      </c>
      <c r="H3" s="1">
        <f>+H4*20%</f>
        <v>6000000</v>
      </c>
    </row>
    <row r="4" spans="2:10" x14ac:dyDescent="0.35">
      <c r="B4" s="29" t="s">
        <v>17</v>
      </c>
      <c r="C4" s="28">
        <v>278303557</v>
      </c>
      <c r="D4" s="28">
        <v>12105544</v>
      </c>
      <c r="E4" s="28">
        <f>+C4+D4</f>
        <v>290409101</v>
      </c>
      <c r="H4" s="1">
        <v>30000000</v>
      </c>
    </row>
    <row r="5" spans="2:10" x14ac:dyDescent="0.35">
      <c r="H5">
        <f>50000000/200000000</f>
        <v>0.25</v>
      </c>
      <c r="J5" s="1">
        <v>22500000</v>
      </c>
    </row>
    <row r="6" spans="2:10" ht="15" thickBot="1" x14ac:dyDescent="0.4">
      <c r="B6" t="s">
        <v>44</v>
      </c>
      <c r="H6" s="1">
        <f>+H4*H5</f>
        <v>7500000</v>
      </c>
      <c r="J6" s="1">
        <f>+J5*20%</f>
        <v>4500000</v>
      </c>
    </row>
    <row r="7" spans="2:10" x14ac:dyDescent="0.35">
      <c r="B7" s="201" t="s">
        <v>31</v>
      </c>
      <c r="C7" s="11" t="s">
        <v>25</v>
      </c>
      <c r="D7" s="16">
        <f>+E3</f>
        <v>40757000</v>
      </c>
      <c r="E7" s="192">
        <f>+D7/D8</f>
        <v>0.14034339784688774</v>
      </c>
      <c r="H7" s="1">
        <f>+H6*35%</f>
        <v>2625000</v>
      </c>
    </row>
    <row r="8" spans="2:10" ht="15" thickBot="1" x14ac:dyDescent="0.4">
      <c r="B8" s="201"/>
      <c r="C8" s="8" t="s">
        <v>26</v>
      </c>
      <c r="D8" s="6">
        <f>+E4</f>
        <v>290409101</v>
      </c>
      <c r="E8" s="193"/>
      <c r="H8" s="2">
        <f>+H7+J6</f>
        <v>7125000</v>
      </c>
    </row>
    <row r="10" spans="2:10" x14ac:dyDescent="0.35">
      <c r="B10" t="s">
        <v>45</v>
      </c>
      <c r="H10" t="s">
        <v>52</v>
      </c>
    </row>
    <row r="11" spans="2:10" ht="30.65" customHeight="1" x14ac:dyDescent="0.35">
      <c r="B11" s="201" t="s">
        <v>41</v>
      </c>
      <c r="C11" s="201"/>
      <c r="D11" s="201"/>
      <c r="E11" s="201"/>
    </row>
    <row r="12" spans="2:10" x14ac:dyDescent="0.35">
      <c r="B12" s="18" t="s">
        <v>42</v>
      </c>
      <c r="C12" s="5">
        <f>(E4*15%)-E3</f>
        <v>2804365.1499999985</v>
      </c>
    </row>
    <row r="14" spans="2:10" ht="76.5" customHeight="1" x14ac:dyDescent="0.35">
      <c r="B14" s="201" t="s">
        <v>46</v>
      </c>
      <c r="C14" s="201"/>
      <c r="D14" s="201"/>
      <c r="E14" s="201"/>
    </row>
    <row r="15" spans="2:10" x14ac:dyDescent="0.35">
      <c r="B15" s="201" t="s">
        <v>48</v>
      </c>
      <c r="C15" s="201"/>
      <c r="D15" s="23">
        <f>IF(C4&gt;0,(C4/E4),0)</f>
        <v>0.95831554879542158</v>
      </c>
    </row>
    <row r="16" spans="2:10" x14ac:dyDescent="0.35">
      <c r="B16" t="s">
        <v>49</v>
      </c>
      <c r="D16" s="23">
        <f>IF(D4&gt;0,(D4/E4),0)</f>
        <v>4.168445120457847E-2</v>
      </c>
    </row>
    <row r="18" spans="2:5" ht="41.15" customHeight="1" x14ac:dyDescent="0.35">
      <c r="B18" s="201" t="s">
        <v>47</v>
      </c>
      <c r="C18" s="201"/>
      <c r="D18" s="201"/>
      <c r="E18" s="201"/>
    </row>
    <row r="19" spans="2:5" ht="14.5" customHeight="1" x14ac:dyDescent="0.35">
      <c r="B19" s="201" t="s">
        <v>50</v>
      </c>
      <c r="C19" s="201"/>
      <c r="D19" s="6">
        <f>+C12*D15</f>
        <v>2687466.7277450035</v>
      </c>
    </row>
    <row r="20" spans="2:5" x14ac:dyDescent="0.35">
      <c r="B20" t="s">
        <v>51</v>
      </c>
      <c r="D20" s="6">
        <f>+C12*D16</f>
        <v>116898.42225499531</v>
      </c>
    </row>
  </sheetData>
  <mergeCells count="8">
    <mergeCell ref="B19:C19"/>
    <mergeCell ref="B7:B8"/>
    <mergeCell ref="E7:E8"/>
    <mergeCell ref="B1:E1"/>
    <mergeCell ref="B11:E11"/>
    <mergeCell ref="B14:E14"/>
    <mergeCell ref="B15:C15"/>
    <mergeCell ref="B18:E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A030-831D-411A-AAB2-7859AFA72BFF}">
  <dimension ref="B2:D18"/>
  <sheetViews>
    <sheetView topLeftCell="A7" workbookViewId="0">
      <selection activeCell="C8" sqref="C8"/>
    </sheetView>
  </sheetViews>
  <sheetFormatPr baseColWidth="10" defaultRowHeight="14.5" x14ac:dyDescent="0.35"/>
  <cols>
    <col min="2" max="2" width="59.54296875" customWidth="1"/>
    <col min="3" max="3" width="16.36328125" style="61" customWidth="1"/>
    <col min="4" max="4" width="15.08984375" bestFit="1" customWidth="1"/>
  </cols>
  <sheetData>
    <row r="2" spans="2:4" x14ac:dyDescent="0.35">
      <c r="B2" s="207" t="s">
        <v>118</v>
      </c>
      <c r="C2" s="207"/>
    </row>
    <row r="4" spans="2:4" ht="58" customHeight="1" x14ac:dyDescent="0.35">
      <c r="B4" s="206" t="s">
        <v>119</v>
      </c>
      <c r="C4" s="206"/>
    </row>
    <row r="5" spans="2:4" ht="13.5" customHeight="1" x14ac:dyDescent="0.35">
      <c r="B5" s="69"/>
    </row>
    <row r="6" spans="2:4" ht="13.5" customHeight="1" x14ac:dyDescent="0.35">
      <c r="B6" s="69" t="s">
        <v>135</v>
      </c>
      <c r="C6" s="74">
        <v>125000000</v>
      </c>
      <c r="D6" s="23">
        <f>+C6/C7</f>
        <v>0.1</v>
      </c>
    </row>
    <row r="7" spans="2:4" ht="13.5" customHeight="1" x14ac:dyDescent="0.35">
      <c r="B7" s="69" t="s">
        <v>133</v>
      </c>
      <c r="C7" s="74">
        <v>1250000000</v>
      </c>
      <c r="D7" s="6">
        <f>+C8*D6</f>
        <v>50000000</v>
      </c>
    </row>
    <row r="8" spans="2:4" ht="13.5" customHeight="1" x14ac:dyDescent="0.35">
      <c r="B8" s="69" t="s">
        <v>121</v>
      </c>
      <c r="C8" s="64">
        <v>500000000</v>
      </c>
    </row>
    <row r="9" spans="2:4" x14ac:dyDescent="0.35">
      <c r="B9" s="69" t="s">
        <v>122</v>
      </c>
      <c r="C9" s="94">
        <v>0.2</v>
      </c>
      <c r="D9" s="6">
        <f>+D7*C9</f>
        <v>10000000</v>
      </c>
    </row>
    <row r="10" spans="2:4" x14ac:dyDescent="0.35">
      <c r="B10" s="69"/>
      <c r="C10" s="94"/>
    </row>
    <row r="11" spans="2:4" ht="69" customHeight="1" x14ac:dyDescent="0.35">
      <c r="B11" s="206" t="s">
        <v>117</v>
      </c>
      <c r="C11" s="206"/>
    </row>
    <row r="13" spans="2:4" x14ac:dyDescent="0.35">
      <c r="B13" s="69" t="s">
        <v>134</v>
      </c>
      <c r="C13" s="64">
        <f>+C7-C6</f>
        <v>1125000000</v>
      </c>
    </row>
    <row r="14" spans="2:4" x14ac:dyDescent="0.35">
      <c r="B14" s="69" t="s">
        <v>120</v>
      </c>
      <c r="C14" s="74">
        <v>1250000000</v>
      </c>
      <c r="D14" s="5">
        <f>+C13/C14</f>
        <v>0.9</v>
      </c>
    </row>
    <row r="15" spans="2:4" x14ac:dyDescent="0.35">
      <c r="B15" s="69" t="s">
        <v>121</v>
      </c>
      <c r="C15" s="64">
        <v>500000000</v>
      </c>
      <c r="D15" s="5">
        <f>+C15*D14</f>
        <v>450000000</v>
      </c>
    </row>
    <row r="16" spans="2:4" x14ac:dyDescent="0.35">
      <c r="B16" s="69" t="s">
        <v>123</v>
      </c>
      <c r="C16" s="94">
        <v>0.35</v>
      </c>
      <c r="D16">
        <f>+D15*C16</f>
        <v>157500000</v>
      </c>
    </row>
    <row r="18" spans="2:4" x14ac:dyDescent="0.35">
      <c r="B18" s="71" t="s">
        <v>124</v>
      </c>
      <c r="D18" s="5">
        <f>+D9+D16</f>
        <v>167500000</v>
      </c>
    </row>
  </sheetData>
  <mergeCells count="3">
    <mergeCell ref="B4:C4"/>
    <mergeCell ref="B11:C11"/>
    <mergeCell ref="B2:C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A3DA7-34BB-4532-8D73-011813D6CDD9}">
  <dimension ref="B2:I30"/>
  <sheetViews>
    <sheetView workbookViewId="0">
      <selection activeCell="B12" sqref="B12"/>
    </sheetView>
  </sheetViews>
  <sheetFormatPr baseColWidth="10" defaultRowHeight="14.5" x14ac:dyDescent="0.35"/>
  <cols>
    <col min="2" max="2" width="62.81640625" customWidth="1"/>
    <col min="3" max="3" width="20.26953125" customWidth="1"/>
    <col min="4" max="4" width="15.08984375" bestFit="1" customWidth="1"/>
  </cols>
  <sheetData>
    <row r="2" spans="2:9" x14ac:dyDescent="0.35">
      <c r="B2" s="207" t="s">
        <v>67</v>
      </c>
      <c r="C2" s="207"/>
    </row>
    <row r="5" spans="2:9" x14ac:dyDescent="0.35">
      <c r="B5" s="212" t="s">
        <v>53</v>
      </c>
      <c r="C5" s="212"/>
    </row>
    <row r="7" spans="2:9" ht="15" thickBot="1" x14ac:dyDescent="0.4">
      <c r="B7" s="3"/>
    </row>
    <row r="8" spans="2:9" x14ac:dyDescent="0.35">
      <c r="B8" s="213" t="s">
        <v>54</v>
      </c>
      <c r="C8" s="214"/>
    </row>
    <row r="9" spans="2:9" ht="29" x14ac:dyDescent="0.35">
      <c r="B9" s="215" t="s">
        <v>55</v>
      </c>
      <c r="C9" s="216">
        <v>150000</v>
      </c>
    </row>
    <row r="10" spans="2:9" ht="43.5" x14ac:dyDescent="0.35">
      <c r="B10" s="215" t="s">
        <v>56</v>
      </c>
      <c r="C10" s="216">
        <v>800000</v>
      </c>
      <c r="F10" s="211"/>
      <c r="G10" s="211"/>
      <c r="H10" s="211"/>
      <c r="I10" s="211"/>
    </row>
    <row r="11" spans="2:9" ht="29" x14ac:dyDescent="0.35">
      <c r="B11" s="215" t="s">
        <v>57</v>
      </c>
      <c r="C11" s="216">
        <v>450000</v>
      </c>
      <c r="F11" s="211"/>
      <c r="G11" s="211"/>
      <c r="H11" s="211"/>
      <c r="I11" s="211"/>
    </row>
    <row r="12" spans="2:9" ht="43.5" x14ac:dyDescent="0.35">
      <c r="B12" s="221" t="s">
        <v>58</v>
      </c>
      <c r="C12" s="222">
        <v>2000000</v>
      </c>
      <c r="F12" s="211"/>
      <c r="G12" s="211"/>
      <c r="H12" s="211"/>
      <c r="I12" s="211"/>
    </row>
    <row r="13" spans="2:9" ht="58.5" thickBot="1" x14ac:dyDescent="0.4">
      <c r="B13" s="217" t="s">
        <v>59</v>
      </c>
      <c r="C13" s="218">
        <v>12580000</v>
      </c>
    </row>
    <row r="14" spans="2:9" ht="15" thickBot="1" x14ac:dyDescent="0.4">
      <c r="B14" s="38" t="s">
        <v>70</v>
      </c>
      <c r="C14" s="39">
        <f>SUM(C9:C13)</f>
        <v>15980000</v>
      </c>
    </row>
    <row r="15" spans="2:9" ht="15" thickBot="1" x14ac:dyDescent="0.4">
      <c r="B15" s="18"/>
      <c r="C15" s="37"/>
    </row>
    <row r="16" spans="2:9" x14ac:dyDescent="0.35">
      <c r="B16" s="209" t="s">
        <v>60</v>
      </c>
      <c r="C16" s="210"/>
    </row>
    <row r="17" spans="2:4" ht="29.5" thickBot="1" x14ac:dyDescent="0.4">
      <c r="B17" s="31" t="s">
        <v>61</v>
      </c>
      <c r="C17" s="219">
        <v>15000</v>
      </c>
    </row>
    <row r="18" spans="2:4" ht="15" thickBot="1" x14ac:dyDescent="0.4">
      <c r="B18" s="18"/>
      <c r="C18" s="37"/>
    </row>
    <row r="19" spans="2:4" ht="57" customHeight="1" thickBot="1" x14ac:dyDescent="0.4">
      <c r="B19" s="84" t="s">
        <v>69</v>
      </c>
      <c r="C19" s="85">
        <v>0</v>
      </c>
    </row>
    <row r="20" spans="2:4" ht="15" thickBot="1" x14ac:dyDescent="0.4">
      <c r="B20" s="18"/>
    </row>
    <row r="21" spans="2:4" ht="15" thickBot="1" x14ac:dyDescent="0.4">
      <c r="B21" s="32" t="s">
        <v>62</v>
      </c>
      <c r="C21" s="36">
        <v>0.35</v>
      </c>
    </row>
    <row r="22" spans="2:4" ht="15" thickBot="1" x14ac:dyDescent="0.4">
      <c r="B22" s="20"/>
    </row>
    <row r="23" spans="2:4" x14ac:dyDescent="0.35">
      <c r="B23" s="209" t="s">
        <v>63</v>
      </c>
      <c r="C23" s="210"/>
    </row>
    <row r="24" spans="2:4" ht="29" x14ac:dyDescent="0.35">
      <c r="B24" s="30" t="s">
        <v>64</v>
      </c>
      <c r="C24" s="34">
        <v>854000</v>
      </c>
    </row>
    <row r="25" spans="2:4" ht="21" customHeight="1" thickBot="1" x14ac:dyDescent="0.4">
      <c r="B25" s="31" t="s">
        <v>65</v>
      </c>
      <c r="C25" s="35">
        <v>1250000</v>
      </c>
    </row>
    <row r="26" spans="2:4" ht="15" thickBot="1" x14ac:dyDescent="0.4">
      <c r="B26" s="38" t="s">
        <v>71</v>
      </c>
      <c r="C26" s="39">
        <f>+C24+C25</f>
        <v>2104000</v>
      </c>
      <c r="D26" s="37">
        <f>+C26+C14</f>
        <v>18084000</v>
      </c>
    </row>
    <row r="27" spans="2:4" ht="15" thickBot="1" x14ac:dyDescent="0.4">
      <c r="B27" s="20"/>
    </row>
    <row r="28" spans="2:4" ht="29.5" thickBot="1" x14ac:dyDescent="0.4">
      <c r="B28" s="32" t="s">
        <v>66</v>
      </c>
      <c r="C28" s="220">
        <v>45000000</v>
      </c>
      <c r="D28" s="6">
        <f>+C28*35%</f>
        <v>15749999.999999998</v>
      </c>
    </row>
    <row r="29" spans="2:4" ht="16" thickBot="1" x14ac:dyDescent="0.4">
      <c r="B29" s="10"/>
    </row>
    <row r="30" spans="2:4" ht="19" thickBot="1" x14ac:dyDescent="0.5">
      <c r="B30" s="33" t="s">
        <v>68</v>
      </c>
      <c r="C30" s="86">
        <f>IF((((C14+C17+C19)*C21)+C26)-(C28*3%),(((C14+C17+C19)*C21)+C26)-(C28*3%),0)</f>
        <v>6352250</v>
      </c>
      <c r="D30" s="37">
        <f>+D28+C30</f>
        <v>22102250</v>
      </c>
    </row>
  </sheetData>
  <mergeCells count="6">
    <mergeCell ref="B23:C23"/>
    <mergeCell ref="F10:I12"/>
    <mergeCell ref="B2:C2"/>
    <mergeCell ref="B5:C5"/>
    <mergeCell ref="B8:C8"/>
    <mergeCell ref="B16:C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APUNTES SESIÓN 1</vt:lpstr>
      <vt:lpstr>APUNTES SESIÓN 2</vt:lpstr>
      <vt:lpstr>APUNTES SESIÓN 3</vt:lpstr>
      <vt:lpstr>TMT NO CONSOLIDA ET</vt:lpstr>
      <vt:lpstr>TMT CONSOLIDA ET</vt:lpstr>
      <vt:lpstr>ESCENARIOS</vt:lpstr>
      <vt:lpstr>Ejercicio de TMT Obligados CONS</vt:lpstr>
      <vt:lpstr>ZF</vt:lpstr>
      <vt:lpstr>Limite art 259-1</vt:lpstr>
      <vt:lpstr>PAPA</vt:lpstr>
      <vt:lpstr>IPATRIMONIO</vt:lpstr>
      <vt:lpstr>GO</vt:lpstr>
      <vt:lpstr>SANCIONES Y  PROCEDIMIENTOS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Guerra</dc:creator>
  <cp:lastModifiedBy>Carlos Guerra</cp:lastModifiedBy>
  <dcterms:created xsi:type="dcterms:W3CDTF">2015-06-05T18:19:34Z</dcterms:created>
  <dcterms:modified xsi:type="dcterms:W3CDTF">2023-02-02T03:00:15Z</dcterms:modified>
</cp:coreProperties>
</file>